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mple.a\Documents\Website\Financial Transparency\Budgets\"/>
    </mc:Choice>
  </mc:AlternateContent>
  <bookViews>
    <workbookView xWindow="0" yWindow="0" windowWidth="20415" windowHeight="5430" tabRatio="914" firstSheet="2" activeTab="4"/>
  </bookViews>
  <sheets>
    <sheet name="Instructions" sheetId="25" r:id="rId1"/>
    <sheet name="Cover Page" sheetId="23" r:id="rId2"/>
    <sheet name="Page 1-Enrollment Plan" sheetId="22" r:id="rId3"/>
    <sheet name="Page 2-Staffing Plan" sheetId="19" r:id="rId4"/>
    <sheet name="Page 3-Assumptions" sheetId="17" r:id="rId5"/>
    <sheet name="Page 4-Year 0" sheetId="1" state="hidden" r:id="rId6"/>
    <sheet name="Page 5-Year 1" sheetId="13" r:id="rId7"/>
    <sheet name="Page 6-Year 2" sheetId="14" r:id="rId8"/>
    <sheet name="Page 7-Year 3" sheetId="15" r:id="rId9"/>
    <sheet name="Page 8-Year 4" sheetId="16" r:id="rId10"/>
    <sheet name="Page 9-Year 5" sheetId="20" r:id="rId11"/>
    <sheet name="Page 9-Year 6 " sheetId="29" r:id="rId12"/>
    <sheet name="Page 10-6 yr Budget-detail" sheetId="12" r:id="rId13"/>
    <sheet name="Page 11-6 yr Budget Summary" sheetId="21" r:id="rId14"/>
    <sheet name="FeeIncome" sheetId="27" r:id="rId15"/>
    <sheet name="AdminStaffPlan" sheetId="26" r:id="rId16"/>
    <sheet name="Curriculum" sheetId="28" r:id="rId17"/>
    <sheet name="Support-CDE start-up grant" sheetId="24" r:id="rId18"/>
    <sheet name="16 MO projection" sheetId="30" r:id="rId19"/>
    <sheet name="Sheet2" sheetId="31" r:id="rId20"/>
  </sheets>
  <externalReferences>
    <externalReference r:id="rId21"/>
  </externalReferences>
  <definedNames>
    <definedName name="__FTE1">'Page 10-6 yr Budget-detail'!$C$6</definedName>
    <definedName name="__FTE2">'Page 10-6 yr Budget-detail'!$D$6</definedName>
    <definedName name="__fTE3">'Page 10-6 yr Budget-detail'!$E$6</definedName>
    <definedName name="__FTE4">'Page 10-6 yr Budget-detail'!$F$6</definedName>
    <definedName name="_FTE1" localSheetId="13">'Page 11-6 yr Budget Summary'!$C$5</definedName>
    <definedName name="_FTE2" localSheetId="13">'Page 11-6 yr Budget Summary'!$D$5</definedName>
    <definedName name="_fTE3" localSheetId="13">'Page 11-6 yr Budget Summary'!$E$5</definedName>
    <definedName name="_FTE4" localSheetId="13">'Page 11-6 yr Budget Summary'!$F$5</definedName>
    <definedName name="_FTE5">'[1]Budget Analysis'!$G$4</definedName>
    <definedName name="count" localSheetId="18">[1]budget!#REF!</definedName>
    <definedName name="count" localSheetId="11">[1]budget!#REF!</definedName>
    <definedName name="count">[1]budget!#REF!</definedName>
    <definedName name="FPC" localSheetId="18">'16 MO projection'!$E$3</definedName>
    <definedName name="FPC" localSheetId="12">'Page 10-6 yr Budget-detail'!#REF!</definedName>
    <definedName name="FPC" localSheetId="13">'Page 11-6 yr Budget Summary'!#REF!</definedName>
    <definedName name="FPC" localSheetId="6">'Page 5-Year 1'!$E$3</definedName>
    <definedName name="FPC" localSheetId="7">'Page 6-Year 2'!$E$3</definedName>
    <definedName name="FPC" localSheetId="8">'Page 7-Year 3'!$E$3</definedName>
    <definedName name="FPC" localSheetId="9">'Page 8-Year 4'!$E$3</definedName>
    <definedName name="FPC" localSheetId="10">'Page 9-Year 5'!$E$3</definedName>
    <definedName name="FPC" localSheetId="11">'Page 9-Year 6 '!$E$3</definedName>
    <definedName name="FPC">'Page 4-Year 0'!$E$3</definedName>
    <definedName name="FTE" localSheetId="18">'[1]Budget Analysis'!#REF!</definedName>
    <definedName name="FTE" localSheetId="11">'[1]Budget Analysis'!#REF!</definedName>
    <definedName name="FTE">'[1]Budget Analysis'!#REF!</definedName>
    <definedName name="FTE0" localSheetId="13">'Page 11-6 yr Budget Summary'!$B$5</definedName>
    <definedName name="FTE0">'Page 10-6 yr Budget-detail'!$B$6</definedName>
    <definedName name="GandT" localSheetId="18">[1]Assumptions!#REF!</definedName>
    <definedName name="GandT" localSheetId="11">[1]Assumptions!#REF!</definedName>
    <definedName name="GandT">[1]Assumptions!#REF!</definedName>
    <definedName name="objects">[1]Other!$D$1:$D$12</definedName>
    <definedName name="_xlnm.Print_Area" localSheetId="18">'16 MO projection'!$A$1:$E$87</definedName>
    <definedName name="_xlnm.Print_Area" localSheetId="1">'Cover Page'!$A$1:$H$43</definedName>
    <definedName name="_xlnm.Print_Area" localSheetId="12">'Page 10-6 yr Budget-detail'!$A$1:$H$104</definedName>
    <definedName name="_xlnm.Print_Area" localSheetId="3">'Page 2-Staffing Plan'!$A$1:$J$41</definedName>
    <definedName name="_xlnm.Print_Area" localSheetId="4">'Page 3-Assumptions'!$A$1:$G$61</definedName>
    <definedName name="_xlnm.Print_Area" localSheetId="5">'Page 4-Year 0'!$A$1:$E$88</definedName>
    <definedName name="_xlnm.Print_Area" localSheetId="6">'Page 5-Year 1'!$A$1:$E$87</definedName>
    <definedName name="_xlnm.Print_Area" localSheetId="7">'Page 6-Year 2'!$A$1:$E$88</definedName>
    <definedName name="_xlnm.Print_Area" localSheetId="8">'Page 7-Year 3'!$A$1:$E$87</definedName>
    <definedName name="_xlnm.Print_Area" localSheetId="9">'Page 8-Year 4'!$A$1:$E$87</definedName>
    <definedName name="_xlnm.Print_Area" localSheetId="10">'Page 9-Year 5'!$A$1:$E$87</definedName>
    <definedName name="_xlnm.Print_Area" localSheetId="11">'Page 9-Year 6 '!$A$1:$E$87</definedName>
    <definedName name="_xlnm.Print_Titles" localSheetId="18">'16 MO projection'!$1:$4</definedName>
    <definedName name="_xlnm.Print_Titles" localSheetId="12">'Page 10-6 yr Budget-detail'!$1:$4</definedName>
    <definedName name="_xlnm.Print_Titles" localSheetId="13">'Page 11-6 yr Budget Summary'!$1:$3</definedName>
    <definedName name="_xlnm.Print_Titles" localSheetId="5">'Page 4-Year 0'!$1:$4</definedName>
    <definedName name="_xlnm.Print_Titles" localSheetId="6">'Page 5-Year 1'!$1:$4</definedName>
    <definedName name="_xlnm.Print_Titles" localSheetId="7">'Page 6-Year 2'!$1:$4</definedName>
    <definedName name="_xlnm.Print_Titles" localSheetId="8">'Page 7-Year 3'!$1:$4</definedName>
    <definedName name="_xlnm.Print_Titles" localSheetId="9">'Page 8-Year 4'!$1:$4</definedName>
    <definedName name="_xlnm.Print_Titles" localSheetId="10">'Page 9-Year 5'!$1:$4</definedName>
    <definedName name="_xlnm.Print_Titles" localSheetId="11">'Page 9-Year 6 '!$1:$4</definedName>
    <definedName name="Projects">[1]Other!$A$5:$A$19</definedName>
    <definedName name="raise" localSheetId="18">[1]salaries!#REF!</definedName>
    <definedName name="raise" localSheetId="11">[1]salaries!#REF!</definedName>
    <definedName name="raise">[1]salaries!#REF!</definedName>
    <definedName name="TitleI" localSheetId="18">[1]Assumptions!#REF!</definedName>
    <definedName name="TitleI" localSheetId="11">[1]Assumptions!#REF!</definedName>
    <definedName name="TitleI">[1]Assumptions!#REF!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4" l="1"/>
  <c r="B31" i="14"/>
  <c r="B46" i="14"/>
  <c r="B45" i="14"/>
  <c r="B14" i="14" l="1"/>
  <c r="B35" i="17"/>
  <c r="B3" i="14" l="1"/>
  <c r="B36" i="17" l="1"/>
  <c r="B50" i="14"/>
  <c r="B48" i="14" l="1"/>
  <c r="C20" i="22"/>
  <c r="D20" i="22"/>
  <c r="E20" i="22"/>
  <c r="C80" i="14" l="1"/>
  <c r="B49" i="15"/>
  <c r="D22" i="22"/>
  <c r="E22" i="22"/>
  <c r="F22" i="22"/>
  <c r="G22" i="22"/>
  <c r="B68" i="31" l="1"/>
  <c r="C68" i="31"/>
  <c r="D68" i="31"/>
  <c r="E68" i="31"/>
  <c r="B23" i="31"/>
  <c r="C23" i="31"/>
  <c r="D23" i="31"/>
  <c r="E23" i="31"/>
  <c r="E70" i="31" s="1"/>
  <c r="G27" i="31"/>
  <c r="H27" i="31" s="1"/>
  <c r="I27" i="31" s="1"/>
  <c r="J27" i="31" s="1"/>
  <c r="K27" i="31" s="1"/>
  <c r="L27" i="31" s="1"/>
  <c r="M27" i="31" s="1"/>
  <c r="N27" i="31" s="1"/>
  <c r="O27" i="31" s="1"/>
  <c r="P27" i="31" s="1"/>
  <c r="Q27" i="31" s="1"/>
  <c r="G35" i="31"/>
  <c r="H35" i="31" s="1"/>
  <c r="I35" i="31" s="1"/>
  <c r="J35" i="31" s="1"/>
  <c r="K35" i="31" s="1"/>
  <c r="L35" i="31" s="1"/>
  <c r="M35" i="31" s="1"/>
  <c r="N35" i="31" s="1"/>
  <c r="O35" i="31" s="1"/>
  <c r="P35" i="31" s="1"/>
  <c r="Q35" i="31" s="1"/>
  <c r="J39" i="31"/>
  <c r="K39" i="31" s="1"/>
  <c r="L39" i="31" s="1"/>
  <c r="M39" i="31" s="1"/>
  <c r="N39" i="31" s="1"/>
  <c r="O39" i="31" s="1"/>
  <c r="P39" i="31" s="1"/>
  <c r="Q39" i="31" s="1"/>
  <c r="G44" i="31"/>
  <c r="H44" i="31" s="1"/>
  <c r="I44" i="31" s="1"/>
  <c r="J44" i="31" s="1"/>
  <c r="K44" i="31" s="1"/>
  <c r="L44" i="31" s="1"/>
  <c r="M44" i="31" s="1"/>
  <c r="N44" i="31" s="1"/>
  <c r="O44" i="31" s="1"/>
  <c r="P44" i="31" s="1"/>
  <c r="Q44" i="31" s="1"/>
  <c r="K52" i="31"/>
  <c r="L52" i="31" s="1"/>
  <c r="M52" i="31" s="1"/>
  <c r="I56" i="31"/>
  <c r="J56" i="31" s="1"/>
  <c r="K56" i="31" s="1"/>
  <c r="L56" i="31" s="1"/>
  <c r="M56" i="31" s="1"/>
  <c r="N56" i="31" s="1"/>
  <c r="O56" i="31" s="1"/>
  <c r="P56" i="31" s="1"/>
  <c r="Q56" i="31" s="1"/>
  <c r="G61" i="31"/>
  <c r="H61" i="31" s="1"/>
  <c r="I61" i="31" s="1"/>
  <c r="J61" i="31" s="1"/>
  <c r="K61" i="31" s="1"/>
  <c r="L61" i="31" s="1"/>
  <c r="M61" i="31" s="1"/>
  <c r="N61" i="31" s="1"/>
  <c r="O61" i="31" s="1"/>
  <c r="P61" i="31" s="1"/>
  <c r="Q61" i="31" s="1"/>
  <c r="G17" i="31"/>
  <c r="H17" i="31" s="1"/>
  <c r="I17" i="31" s="1"/>
  <c r="J17" i="31" s="1"/>
  <c r="K17" i="31" s="1"/>
  <c r="L17" i="31" s="1"/>
  <c r="M17" i="31" s="1"/>
  <c r="N17" i="31" s="1"/>
  <c r="O17" i="31" s="1"/>
  <c r="P17" i="31" s="1"/>
  <c r="Q17" i="31" s="1"/>
  <c r="G7" i="31"/>
  <c r="H7" i="31" s="1"/>
  <c r="I7" i="31" s="1"/>
  <c r="J7" i="31" s="1"/>
  <c r="K7" i="31" s="1"/>
  <c r="L7" i="31" s="1"/>
  <c r="M7" i="31" s="1"/>
  <c r="N7" i="31" s="1"/>
  <c r="O7" i="31" s="1"/>
  <c r="P7" i="31" s="1"/>
  <c r="Q7" i="31" s="1"/>
  <c r="F5" i="31"/>
  <c r="G5" i="31" s="1"/>
  <c r="F6" i="31"/>
  <c r="G6" i="31" s="1"/>
  <c r="H6" i="31" s="1"/>
  <c r="I6" i="31" s="1"/>
  <c r="J6" i="31" s="1"/>
  <c r="K6" i="31" s="1"/>
  <c r="L6" i="31" s="1"/>
  <c r="M6" i="31" s="1"/>
  <c r="N6" i="31" s="1"/>
  <c r="O6" i="31" s="1"/>
  <c r="P6" i="31" s="1"/>
  <c r="Q6" i="31" s="1"/>
  <c r="F7" i="31"/>
  <c r="F10" i="31"/>
  <c r="G10" i="31" s="1"/>
  <c r="H10" i="31" s="1"/>
  <c r="I10" i="31" s="1"/>
  <c r="J10" i="31" s="1"/>
  <c r="K10" i="31" s="1"/>
  <c r="L10" i="31" s="1"/>
  <c r="M10" i="31" s="1"/>
  <c r="N10" i="31" s="1"/>
  <c r="O10" i="31" s="1"/>
  <c r="P10" i="31" s="1"/>
  <c r="Q10" i="31" s="1"/>
  <c r="F13" i="31"/>
  <c r="G13" i="31" s="1"/>
  <c r="H13" i="31" s="1"/>
  <c r="I13" i="31" s="1"/>
  <c r="J13" i="31" s="1"/>
  <c r="K13" i="31" s="1"/>
  <c r="L13" i="31" s="1"/>
  <c r="M13" i="31" s="1"/>
  <c r="N13" i="31" s="1"/>
  <c r="O13" i="31" s="1"/>
  <c r="P13" i="31" s="1"/>
  <c r="Q13" i="31" s="1"/>
  <c r="F15" i="31"/>
  <c r="G15" i="31" s="1"/>
  <c r="H15" i="31" s="1"/>
  <c r="I15" i="31" s="1"/>
  <c r="J15" i="31" s="1"/>
  <c r="K15" i="31" s="1"/>
  <c r="L15" i="31" s="1"/>
  <c r="M15" i="31" s="1"/>
  <c r="N15" i="31" s="1"/>
  <c r="O15" i="31" s="1"/>
  <c r="P15" i="31" s="1"/>
  <c r="Q15" i="31" s="1"/>
  <c r="F16" i="31"/>
  <c r="G16" i="31" s="1"/>
  <c r="H16" i="31" s="1"/>
  <c r="I16" i="31" s="1"/>
  <c r="J16" i="31" s="1"/>
  <c r="K16" i="31" s="1"/>
  <c r="L16" i="31" s="1"/>
  <c r="M16" i="31" s="1"/>
  <c r="N16" i="31" s="1"/>
  <c r="O16" i="31" s="1"/>
  <c r="P16" i="31" s="1"/>
  <c r="Q16" i="31" s="1"/>
  <c r="F17" i="31"/>
  <c r="F18" i="31"/>
  <c r="G18" i="31" s="1"/>
  <c r="H18" i="31" s="1"/>
  <c r="I18" i="31" s="1"/>
  <c r="J18" i="31" s="1"/>
  <c r="K18" i="31" s="1"/>
  <c r="L18" i="31" s="1"/>
  <c r="M18" i="31" s="1"/>
  <c r="N18" i="31" s="1"/>
  <c r="O18" i="31" s="1"/>
  <c r="P18" i="31" s="1"/>
  <c r="Q18" i="31" s="1"/>
  <c r="F19" i="31"/>
  <c r="G19" i="31" s="1"/>
  <c r="H19" i="31" s="1"/>
  <c r="I19" i="31" s="1"/>
  <c r="J19" i="31" s="1"/>
  <c r="K19" i="31" s="1"/>
  <c r="L19" i="31" s="1"/>
  <c r="M19" i="31" s="1"/>
  <c r="N19" i="31" s="1"/>
  <c r="O19" i="31" s="1"/>
  <c r="P19" i="31" s="1"/>
  <c r="Q19" i="31" s="1"/>
  <c r="F20" i="31"/>
  <c r="G20" i="31" s="1"/>
  <c r="H20" i="31" s="1"/>
  <c r="I20" i="31" s="1"/>
  <c r="J20" i="31" s="1"/>
  <c r="K20" i="31" s="1"/>
  <c r="L20" i="31" s="1"/>
  <c r="M20" i="31" s="1"/>
  <c r="N20" i="31" s="1"/>
  <c r="O20" i="31" s="1"/>
  <c r="P20" i="31" s="1"/>
  <c r="Q20" i="31" s="1"/>
  <c r="F22" i="31"/>
  <c r="F27" i="31"/>
  <c r="F29" i="31"/>
  <c r="G29" i="31" s="1"/>
  <c r="H29" i="31" s="1"/>
  <c r="I29" i="31" s="1"/>
  <c r="J29" i="31" s="1"/>
  <c r="K29" i="31" s="1"/>
  <c r="L29" i="31" s="1"/>
  <c r="M29" i="31" s="1"/>
  <c r="N29" i="31" s="1"/>
  <c r="O29" i="31" s="1"/>
  <c r="P29" i="31" s="1"/>
  <c r="Q29" i="31" s="1"/>
  <c r="F34" i="31"/>
  <c r="G34" i="31" s="1"/>
  <c r="H34" i="31" s="1"/>
  <c r="I34" i="31" s="1"/>
  <c r="J34" i="31" s="1"/>
  <c r="K34" i="31" s="1"/>
  <c r="L34" i="31" s="1"/>
  <c r="M34" i="31" s="1"/>
  <c r="N34" i="31" s="1"/>
  <c r="O34" i="31" s="1"/>
  <c r="P34" i="31" s="1"/>
  <c r="Q34" i="31" s="1"/>
  <c r="F35" i="31"/>
  <c r="F36" i="31"/>
  <c r="G36" i="31" s="1"/>
  <c r="H36" i="31" s="1"/>
  <c r="I36" i="31" s="1"/>
  <c r="J36" i="31" s="1"/>
  <c r="K36" i="31" s="1"/>
  <c r="L36" i="31" s="1"/>
  <c r="M36" i="31" s="1"/>
  <c r="N36" i="31" s="1"/>
  <c r="O36" i="31" s="1"/>
  <c r="P36" i="31" s="1"/>
  <c r="Q36" i="31" s="1"/>
  <c r="F38" i="31"/>
  <c r="G38" i="31" s="1"/>
  <c r="H38" i="31" s="1"/>
  <c r="I38" i="31" s="1"/>
  <c r="J38" i="31" s="1"/>
  <c r="K38" i="31" s="1"/>
  <c r="L38" i="31" s="1"/>
  <c r="M38" i="31" s="1"/>
  <c r="N38" i="31" s="1"/>
  <c r="O38" i="31" s="1"/>
  <c r="P38" i="31" s="1"/>
  <c r="Q38" i="31" s="1"/>
  <c r="F40" i="31"/>
  <c r="G40" i="31" s="1"/>
  <c r="H40" i="31" s="1"/>
  <c r="I40" i="31" s="1"/>
  <c r="J40" i="31" s="1"/>
  <c r="K40" i="31" s="1"/>
  <c r="L40" i="31" s="1"/>
  <c r="M40" i="31" s="1"/>
  <c r="N40" i="31" s="1"/>
  <c r="O40" i="31" s="1"/>
  <c r="P40" i="31" s="1"/>
  <c r="Q40" i="31" s="1"/>
  <c r="F41" i="31"/>
  <c r="G41" i="31" s="1"/>
  <c r="H41" i="31" s="1"/>
  <c r="I41" i="31" s="1"/>
  <c r="J41" i="31" s="1"/>
  <c r="K41" i="31" s="1"/>
  <c r="L41" i="31" s="1"/>
  <c r="M41" i="31" s="1"/>
  <c r="N41" i="31" s="1"/>
  <c r="O41" i="31" s="1"/>
  <c r="P41" i="31" s="1"/>
  <c r="Q41" i="31" s="1"/>
  <c r="F43" i="31"/>
  <c r="G43" i="31" s="1"/>
  <c r="H43" i="31" s="1"/>
  <c r="I43" i="31" s="1"/>
  <c r="J43" i="31" s="1"/>
  <c r="K43" i="31" s="1"/>
  <c r="L43" i="31" s="1"/>
  <c r="M43" i="31" s="1"/>
  <c r="N43" i="31" s="1"/>
  <c r="O43" i="31" s="1"/>
  <c r="P43" i="31" s="1"/>
  <c r="Q43" i="31" s="1"/>
  <c r="F44" i="31"/>
  <c r="F45" i="31"/>
  <c r="G45" i="31" s="1"/>
  <c r="H45" i="31" s="1"/>
  <c r="I45" i="31" s="1"/>
  <c r="J45" i="31" s="1"/>
  <c r="K45" i="31" s="1"/>
  <c r="L45" i="31" s="1"/>
  <c r="M45" i="31" s="1"/>
  <c r="N45" i="31" s="1"/>
  <c r="O45" i="31" s="1"/>
  <c r="P45" i="31" s="1"/>
  <c r="Q45" i="31" s="1"/>
  <c r="F47" i="31"/>
  <c r="G47" i="31" s="1"/>
  <c r="H47" i="31" s="1"/>
  <c r="I47" i="31" s="1"/>
  <c r="J47" i="31" s="1"/>
  <c r="K47" i="31" s="1"/>
  <c r="L47" i="31" s="1"/>
  <c r="M47" i="31" s="1"/>
  <c r="N47" i="31" s="1"/>
  <c r="O47" i="31" s="1"/>
  <c r="P47" i="31" s="1"/>
  <c r="Q47" i="31" s="1"/>
  <c r="F50" i="31"/>
  <c r="G50" i="31" s="1"/>
  <c r="H50" i="31" s="1"/>
  <c r="I50" i="31" s="1"/>
  <c r="J50" i="31" s="1"/>
  <c r="K50" i="31" s="1"/>
  <c r="L50" i="31" s="1"/>
  <c r="M50" i="31" s="1"/>
  <c r="N50" i="31" s="1"/>
  <c r="O50" i="31" s="1"/>
  <c r="P50" i="31" s="1"/>
  <c r="Q50" i="31" s="1"/>
  <c r="F59" i="31"/>
  <c r="G59" i="31" s="1"/>
  <c r="H59" i="31" s="1"/>
  <c r="I59" i="31" s="1"/>
  <c r="J59" i="31" s="1"/>
  <c r="K59" i="31" s="1"/>
  <c r="L59" i="31" s="1"/>
  <c r="M59" i="31" s="1"/>
  <c r="N59" i="31" s="1"/>
  <c r="O59" i="31" s="1"/>
  <c r="P59" i="31" s="1"/>
  <c r="Q59" i="31" s="1"/>
  <c r="F60" i="31"/>
  <c r="G60" i="31" s="1"/>
  <c r="H60" i="31" s="1"/>
  <c r="I60" i="31" s="1"/>
  <c r="J60" i="31" s="1"/>
  <c r="K60" i="31" s="1"/>
  <c r="L60" i="31" s="1"/>
  <c r="M60" i="31" s="1"/>
  <c r="N60" i="31" s="1"/>
  <c r="O60" i="31" s="1"/>
  <c r="P60" i="31" s="1"/>
  <c r="Q60" i="31" s="1"/>
  <c r="F61" i="31"/>
  <c r="F62" i="31"/>
  <c r="G62" i="31" s="1"/>
  <c r="H62" i="31" s="1"/>
  <c r="I62" i="31" s="1"/>
  <c r="J62" i="31" s="1"/>
  <c r="K62" i="31" s="1"/>
  <c r="L62" i="31" s="1"/>
  <c r="M62" i="31" s="1"/>
  <c r="N62" i="31" s="1"/>
  <c r="O62" i="31" s="1"/>
  <c r="P62" i="31" s="1"/>
  <c r="Q62" i="31" s="1"/>
  <c r="F65" i="31"/>
  <c r="G65" i="31" s="1"/>
  <c r="H65" i="31" s="1"/>
  <c r="I65" i="31" s="1"/>
  <c r="J65" i="31" s="1"/>
  <c r="K65" i="31" s="1"/>
  <c r="L65" i="31" s="1"/>
  <c r="M65" i="31" s="1"/>
  <c r="N65" i="31" s="1"/>
  <c r="O65" i="31" s="1"/>
  <c r="P65" i="31" s="1"/>
  <c r="Q65" i="31" s="1"/>
  <c r="A1" i="31"/>
  <c r="E78" i="30"/>
  <c r="C73" i="30"/>
  <c r="B72" i="30"/>
  <c r="E72" i="30" s="1"/>
  <c r="B71" i="30"/>
  <c r="E71" i="30" s="1"/>
  <c r="E70" i="30"/>
  <c r="B69" i="30"/>
  <c r="E69" i="30" s="1"/>
  <c r="E67" i="30"/>
  <c r="B66" i="30"/>
  <c r="E66" i="30" s="1"/>
  <c r="E65" i="30"/>
  <c r="B65" i="30"/>
  <c r="D64" i="30"/>
  <c r="B64" i="30"/>
  <c r="E64" i="30" s="1"/>
  <c r="B61" i="30"/>
  <c r="E61" i="30" s="1"/>
  <c r="D58" i="30"/>
  <c r="D57" i="30"/>
  <c r="B56" i="30"/>
  <c r="E56" i="30" s="1"/>
  <c r="E55" i="30"/>
  <c r="B55" i="30"/>
  <c r="E52" i="30"/>
  <c r="B51" i="30"/>
  <c r="E51" i="30" s="1"/>
  <c r="E50" i="30"/>
  <c r="E49" i="30"/>
  <c r="E48" i="30"/>
  <c r="B48" i="30"/>
  <c r="B47" i="30"/>
  <c r="E47" i="30" s="1"/>
  <c r="D46" i="30"/>
  <c r="B46" i="30"/>
  <c r="E46" i="30" s="1"/>
  <c r="B45" i="30"/>
  <c r="E45" i="30" s="1"/>
  <c r="D44" i="30"/>
  <c r="B44" i="30"/>
  <c r="E44" i="30" s="1"/>
  <c r="D43" i="30"/>
  <c r="D73" i="30" s="1"/>
  <c r="E41" i="30"/>
  <c r="B41" i="30"/>
  <c r="E40" i="30"/>
  <c r="E39" i="30"/>
  <c r="E34" i="30"/>
  <c r="E32" i="30"/>
  <c r="D28" i="30"/>
  <c r="C28" i="30"/>
  <c r="C75" i="30" s="1"/>
  <c r="C80" i="30" s="1"/>
  <c r="B27" i="30"/>
  <c r="E27" i="30" s="1"/>
  <c r="E25" i="30"/>
  <c r="E24" i="30"/>
  <c r="B23" i="30"/>
  <c r="E23" i="30" s="1"/>
  <c r="B22" i="30"/>
  <c r="E22" i="30" s="1"/>
  <c r="B21" i="30"/>
  <c r="E21" i="30" s="1"/>
  <c r="E20" i="30"/>
  <c r="E18" i="30"/>
  <c r="E15" i="30"/>
  <c r="E12" i="30"/>
  <c r="E11" i="30"/>
  <c r="E10" i="30"/>
  <c r="B9" i="30"/>
  <c r="E9" i="30" s="1"/>
  <c r="E8" i="30"/>
  <c r="E5" i="30"/>
  <c r="B62" i="30" s="1"/>
  <c r="E62" i="30" s="1"/>
  <c r="B3" i="30"/>
  <c r="A2" i="30" s="1"/>
  <c r="A1" i="30"/>
  <c r="F67" i="31" l="1"/>
  <c r="G67" i="31" s="1"/>
  <c r="H67" i="31" s="1"/>
  <c r="I67" i="31" s="1"/>
  <c r="J67" i="31" s="1"/>
  <c r="K67" i="31" s="1"/>
  <c r="L67" i="31" s="1"/>
  <c r="M67" i="31" s="1"/>
  <c r="N67" i="31" s="1"/>
  <c r="O67" i="31" s="1"/>
  <c r="P67" i="31" s="1"/>
  <c r="Q67" i="31" s="1"/>
  <c r="B16" i="30"/>
  <c r="F64" i="31"/>
  <c r="G64" i="31" s="1"/>
  <c r="H64" i="31" s="1"/>
  <c r="I64" i="31" s="1"/>
  <c r="J64" i="31" s="1"/>
  <c r="K64" i="31" s="1"/>
  <c r="L64" i="31" s="1"/>
  <c r="M64" i="31" s="1"/>
  <c r="N64" i="31" s="1"/>
  <c r="O64" i="31" s="1"/>
  <c r="P64" i="31" s="1"/>
  <c r="Q64" i="31" s="1"/>
  <c r="F57" i="31"/>
  <c r="G57" i="31" s="1"/>
  <c r="H57" i="31" s="1"/>
  <c r="I57" i="31" s="1"/>
  <c r="J57" i="31" s="1"/>
  <c r="K57" i="31" s="1"/>
  <c r="L57" i="31" s="1"/>
  <c r="M57" i="31" s="1"/>
  <c r="N57" i="31" s="1"/>
  <c r="O57" i="31" s="1"/>
  <c r="P57" i="31" s="1"/>
  <c r="Q57" i="31" s="1"/>
  <c r="F46" i="31"/>
  <c r="G46" i="31" s="1"/>
  <c r="H46" i="31" s="1"/>
  <c r="I46" i="31" s="1"/>
  <c r="J46" i="31" s="1"/>
  <c r="K46" i="31" s="1"/>
  <c r="L46" i="31" s="1"/>
  <c r="M46" i="31" s="1"/>
  <c r="N46" i="31" s="1"/>
  <c r="O46" i="31" s="1"/>
  <c r="P46" i="31" s="1"/>
  <c r="Q46" i="31" s="1"/>
  <c r="F51" i="31"/>
  <c r="G51" i="31" s="1"/>
  <c r="H51" i="31" s="1"/>
  <c r="I51" i="31" s="1"/>
  <c r="J51" i="31" s="1"/>
  <c r="K51" i="31" s="1"/>
  <c r="L51" i="31" s="1"/>
  <c r="M51" i="31" s="1"/>
  <c r="N51" i="31" s="1"/>
  <c r="O51" i="31" s="1"/>
  <c r="P51" i="31" s="1"/>
  <c r="Q51" i="31" s="1"/>
  <c r="F66" i="31"/>
  <c r="G66" i="31" s="1"/>
  <c r="H66" i="31" s="1"/>
  <c r="I66" i="31" s="1"/>
  <c r="J66" i="31" s="1"/>
  <c r="K66" i="31" s="1"/>
  <c r="L66" i="31" s="1"/>
  <c r="M66" i="31" s="1"/>
  <c r="N66" i="31" s="1"/>
  <c r="O66" i="31" s="1"/>
  <c r="P66" i="31" s="1"/>
  <c r="Q66" i="31" s="1"/>
  <c r="B57" i="30"/>
  <c r="E57" i="30" s="1"/>
  <c r="D70" i="31"/>
  <c r="C70" i="31"/>
  <c r="B70" i="31"/>
  <c r="H5" i="31"/>
  <c r="D75" i="30"/>
  <c r="D80" i="30" s="1"/>
  <c r="B14" i="30"/>
  <c r="E43" i="30"/>
  <c r="B63" i="30"/>
  <c r="B42" i="30"/>
  <c r="E14" i="30" l="1"/>
  <c r="F9" i="31"/>
  <c r="G9" i="31" s="1"/>
  <c r="H9" i="31" s="1"/>
  <c r="I9" i="31" s="1"/>
  <c r="J9" i="31" s="1"/>
  <c r="K9" i="31" s="1"/>
  <c r="L9" i="31" s="1"/>
  <c r="M9" i="31" s="1"/>
  <c r="N9" i="31" s="1"/>
  <c r="O9" i="31" s="1"/>
  <c r="P9" i="31" s="1"/>
  <c r="E42" i="30"/>
  <c r="F37" i="31"/>
  <c r="E16" i="30"/>
  <c r="F11" i="31"/>
  <c r="G11" i="31" s="1"/>
  <c r="H11" i="31" s="1"/>
  <c r="I11" i="31" s="1"/>
  <c r="J11" i="31" s="1"/>
  <c r="K11" i="31" s="1"/>
  <c r="L11" i="31" s="1"/>
  <c r="M11" i="31" s="1"/>
  <c r="N11" i="31" s="1"/>
  <c r="O11" i="31" s="1"/>
  <c r="P11" i="31" s="1"/>
  <c r="Q11" i="31" s="1"/>
  <c r="E63" i="30"/>
  <c r="F58" i="31"/>
  <c r="G58" i="31" s="1"/>
  <c r="H58" i="31" s="1"/>
  <c r="I58" i="31" s="1"/>
  <c r="J58" i="31" s="1"/>
  <c r="K58" i="31" s="1"/>
  <c r="L58" i="31" s="1"/>
  <c r="M58" i="31" s="1"/>
  <c r="N58" i="31" s="1"/>
  <c r="O58" i="31" s="1"/>
  <c r="P58" i="31" s="1"/>
  <c r="Q58" i="31" s="1"/>
  <c r="I5" i="31"/>
  <c r="G37" i="31" l="1"/>
  <c r="J5" i="31"/>
  <c r="H37" i="31" l="1"/>
  <c r="K5" i="31"/>
  <c r="I37" i="31" l="1"/>
  <c r="L5" i="31"/>
  <c r="J37" i="31" l="1"/>
  <c r="M5" i="31"/>
  <c r="K37" i="31" l="1"/>
  <c r="N5" i="31"/>
  <c r="L37" i="31" l="1"/>
  <c r="O5" i="31"/>
  <c r="M37" i="31" l="1"/>
  <c r="P5" i="31"/>
  <c r="N37" i="31" l="1"/>
  <c r="Q5" i="31"/>
  <c r="O37" i="31" l="1"/>
  <c r="P37" i="31" l="1"/>
  <c r="B23" i="14"/>
  <c r="C22" i="22"/>
  <c r="E6" i="30" s="1"/>
  <c r="B13" i="30" l="1"/>
  <c r="B26" i="30"/>
  <c r="Q37" i="31"/>
  <c r="B45" i="15"/>
  <c r="B47" i="14"/>
  <c r="B50" i="13"/>
  <c r="B44" i="15"/>
  <c r="E26" i="30" l="1"/>
  <c r="B59" i="30" s="1"/>
  <c r="F21" i="31"/>
  <c r="G21" i="31" s="1"/>
  <c r="H21" i="31" s="1"/>
  <c r="I21" i="31" s="1"/>
  <c r="J21" i="31" s="1"/>
  <c r="K21" i="31" s="1"/>
  <c r="L21" i="31" s="1"/>
  <c r="M21" i="31" s="1"/>
  <c r="N21" i="31" s="1"/>
  <c r="O21" i="31" s="1"/>
  <c r="P21" i="31" s="1"/>
  <c r="Q21" i="31" s="1"/>
  <c r="B60" i="30"/>
  <c r="E13" i="30"/>
  <c r="F8" i="31"/>
  <c r="H34" i="21"/>
  <c r="H34" i="12"/>
  <c r="H70" i="12"/>
  <c r="H28" i="21" s="1"/>
  <c r="H25" i="12"/>
  <c r="H27" i="12"/>
  <c r="H8" i="21" s="1"/>
  <c r="H8" i="12"/>
  <c r="H5" i="12"/>
  <c r="H78" i="12"/>
  <c r="H6" i="12"/>
  <c r="E78" i="29"/>
  <c r="D73" i="29"/>
  <c r="E70" i="29"/>
  <c r="E67" i="29"/>
  <c r="H67" i="12" s="1"/>
  <c r="E52" i="29"/>
  <c r="H52" i="12" s="1"/>
  <c r="H27" i="21" s="1"/>
  <c r="E39" i="29"/>
  <c r="H39" i="12" s="1"/>
  <c r="E34" i="29"/>
  <c r="D28" i="29"/>
  <c r="B27" i="29"/>
  <c r="E27" i="29" s="1"/>
  <c r="E25" i="29"/>
  <c r="E24" i="29"/>
  <c r="H24" i="12" s="1"/>
  <c r="E20" i="29"/>
  <c r="H20" i="12" s="1"/>
  <c r="E12" i="29"/>
  <c r="H12" i="12" s="1"/>
  <c r="E10" i="29"/>
  <c r="H10" i="12" s="1"/>
  <c r="B9" i="29"/>
  <c r="E9" i="29" s="1"/>
  <c r="H9" i="12" s="1"/>
  <c r="E8" i="29"/>
  <c r="A2" i="29"/>
  <c r="G8" i="31" l="1"/>
  <c r="E59" i="30"/>
  <c r="F54" i="31"/>
  <c r="E60" i="30"/>
  <c r="F55" i="31"/>
  <c r="G55" i="31" s="1"/>
  <c r="H55" i="31" s="1"/>
  <c r="I55" i="31" s="1"/>
  <c r="J55" i="31" s="1"/>
  <c r="K55" i="31" s="1"/>
  <c r="L55" i="31" s="1"/>
  <c r="M55" i="31" s="1"/>
  <c r="N55" i="31" s="1"/>
  <c r="O55" i="31" s="1"/>
  <c r="P55" i="31" s="1"/>
  <c r="Q55" i="31" s="1"/>
  <c r="H9" i="21"/>
  <c r="D75" i="29"/>
  <c r="D80" i="29" s="1"/>
  <c r="G54" i="31" l="1"/>
  <c r="H8" i="31"/>
  <c r="B72" i="1"/>
  <c r="H54" i="31" l="1"/>
  <c r="I8" i="31"/>
  <c r="J32" i="28"/>
  <c r="H31" i="28"/>
  <c r="J31" i="28" s="1"/>
  <c r="H30" i="28"/>
  <c r="J30" i="28" s="1"/>
  <c r="I29" i="28"/>
  <c r="H29" i="28"/>
  <c r="I28" i="28"/>
  <c r="H28" i="28"/>
  <c r="J28" i="28" s="1"/>
  <c r="H25" i="28"/>
  <c r="J25" i="28" s="1"/>
  <c r="H24" i="28"/>
  <c r="J24" i="28" s="1"/>
  <c r="H23" i="28"/>
  <c r="J23" i="28" s="1"/>
  <c r="H22" i="28"/>
  <c r="J22" i="28" s="1"/>
  <c r="H21" i="28"/>
  <c r="F21" i="28"/>
  <c r="F26" i="28" s="1"/>
  <c r="H18" i="28"/>
  <c r="J18" i="28" s="1"/>
  <c r="H17" i="28"/>
  <c r="F17" i="28"/>
  <c r="F19" i="28" s="1"/>
  <c r="I16" i="28"/>
  <c r="H16" i="28"/>
  <c r="J13" i="28"/>
  <c r="H13" i="28"/>
  <c r="H12" i="28"/>
  <c r="F12" i="28"/>
  <c r="I11" i="28"/>
  <c r="H11" i="28"/>
  <c r="H8" i="28"/>
  <c r="F8" i="28"/>
  <c r="I7" i="28"/>
  <c r="H7" i="28"/>
  <c r="G7" i="28"/>
  <c r="F7" i="28"/>
  <c r="F9" i="28" s="1"/>
  <c r="I6" i="28"/>
  <c r="J6" i="28" s="1"/>
  <c r="B65" i="15"/>
  <c r="B65" i="16" s="1"/>
  <c r="D23" i="27"/>
  <c r="D22" i="27"/>
  <c r="D21" i="27"/>
  <c r="D13" i="27"/>
  <c r="F12" i="27"/>
  <c r="D12" i="27"/>
  <c r="E10" i="27"/>
  <c r="D10" i="27" s="1"/>
  <c r="D6" i="27"/>
  <c r="E27" i="26"/>
  <c r="F27" i="26" s="1"/>
  <c r="G27" i="26" s="1"/>
  <c r="D26" i="26"/>
  <c r="E25" i="26"/>
  <c r="F25" i="26" s="1"/>
  <c r="G25" i="26" s="1"/>
  <c r="G24" i="26"/>
  <c r="E23" i="26"/>
  <c r="F23" i="26" s="1"/>
  <c r="G23" i="26" s="1"/>
  <c r="D22" i="26"/>
  <c r="E22" i="26" s="1"/>
  <c r="F22" i="26" s="1"/>
  <c r="G22" i="26" s="1"/>
  <c r="D21" i="26"/>
  <c r="E21" i="26" s="1"/>
  <c r="F21" i="26" s="1"/>
  <c r="G21" i="26" s="1"/>
  <c r="F20" i="26"/>
  <c r="G20" i="26" s="1"/>
  <c r="F19" i="26"/>
  <c r="G19" i="26" s="1"/>
  <c r="D18" i="26"/>
  <c r="E18" i="26" s="1"/>
  <c r="F18" i="26" s="1"/>
  <c r="G18" i="26" s="1"/>
  <c r="E17" i="26"/>
  <c r="F17" i="26" s="1"/>
  <c r="G17" i="26" s="1"/>
  <c r="C15" i="26"/>
  <c r="G14" i="26"/>
  <c r="D13" i="26"/>
  <c r="D15" i="26" s="1"/>
  <c r="E12" i="26"/>
  <c r="F12" i="26" s="1"/>
  <c r="B12" i="26"/>
  <c r="B15" i="26" s="1"/>
  <c r="D10" i="26"/>
  <c r="C10" i="26"/>
  <c r="C29" i="26" s="1"/>
  <c r="E9" i="26"/>
  <c r="F9" i="26" s="1"/>
  <c r="G9" i="26" s="1"/>
  <c r="E8" i="26"/>
  <c r="F8" i="26" s="1"/>
  <c r="G8" i="26" s="1"/>
  <c r="E7" i="26"/>
  <c r="F7" i="26" s="1"/>
  <c r="G7" i="26" s="1"/>
  <c r="E6" i="26"/>
  <c r="F6" i="26" s="1"/>
  <c r="G6" i="26" s="1"/>
  <c r="E5" i="26"/>
  <c r="I54" i="31" l="1"/>
  <c r="J8" i="31"/>
  <c r="B65" i="20"/>
  <c r="B65" i="29"/>
  <c r="E65" i="29" s="1"/>
  <c r="H65" i="12" s="1"/>
  <c r="J29" i="28"/>
  <c r="D24" i="27"/>
  <c r="D11" i="27" s="1"/>
  <c r="D18" i="27" s="1"/>
  <c r="J8" i="28"/>
  <c r="J12" i="28"/>
  <c r="J16" i="28"/>
  <c r="J19" i="28" s="1"/>
  <c r="K19" i="28" s="1"/>
  <c r="D29" i="26"/>
  <c r="E13" i="26"/>
  <c r="F13" i="26" s="1"/>
  <c r="G13" i="26" s="1"/>
  <c r="J11" i="28"/>
  <c r="J17" i="28"/>
  <c r="J21" i="28"/>
  <c r="J26" i="28" s="1"/>
  <c r="K26" i="28" s="1"/>
  <c r="F14" i="28"/>
  <c r="J7" i="28"/>
  <c r="E10" i="26"/>
  <c r="B10" i="26"/>
  <c r="B29" i="26" s="1"/>
  <c r="G12" i="26"/>
  <c r="F5" i="26"/>
  <c r="E15" i="26"/>
  <c r="J54" i="31" l="1"/>
  <c r="K8" i="31"/>
  <c r="J14" i="28"/>
  <c r="G15" i="26"/>
  <c r="J9" i="28"/>
  <c r="K9" i="28" s="1"/>
  <c r="F15" i="26"/>
  <c r="J35" i="28"/>
  <c r="K14" i="28"/>
  <c r="E29" i="26"/>
  <c r="F10" i="26"/>
  <c r="F29" i="26" s="1"/>
  <c r="G5" i="26"/>
  <c r="G10" i="26" s="1"/>
  <c r="K54" i="31" l="1"/>
  <c r="L8" i="31"/>
  <c r="G29" i="26"/>
  <c r="K35" i="28"/>
  <c r="J37" i="28"/>
  <c r="G19" i="19"/>
  <c r="B46" i="15"/>
  <c r="B46" i="16" s="1"/>
  <c r="B45" i="16"/>
  <c r="B44" i="16"/>
  <c r="B43" i="15"/>
  <c r="B43" i="16" s="1"/>
  <c r="B47" i="15"/>
  <c r="L54" i="31" l="1"/>
  <c r="M8" i="31"/>
  <c r="B46" i="20"/>
  <c r="B46" i="29"/>
  <c r="E46" i="29" s="1"/>
  <c r="H46" i="12" s="1"/>
  <c r="B47" i="16"/>
  <c r="B47" i="29" s="1"/>
  <c r="E47" i="29" s="1"/>
  <c r="H47" i="12" s="1"/>
  <c r="B45" i="20"/>
  <c r="B45" i="29"/>
  <c r="E45" i="29" s="1"/>
  <c r="H45" i="12" s="1"/>
  <c r="B43" i="20"/>
  <c r="B43" i="29"/>
  <c r="E43" i="29" s="1"/>
  <c r="H43" i="12" s="1"/>
  <c r="B44" i="20"/>
  <c r="B44" i="29"/>
  <c r="E44" i="29" s="1"/>
  <c r="H44" i="12" s="1"/>
  <c r="B66" i="15"/>
  <c r="B66" i="16" s="1"/>
  <c r="B49" i="16"/>
  <c r="B49" i="20" s="1"/>
  <c r="D58" i="17"/>
  <c r="E58" i="17" s="1"/>
  <c r="F58" i="17" s="1"/>
  <c r="G58" i="17" s="1"/>
  <c r="D57" i="17"/>
  <c r="E57" i="17" s="1"/>
  <c r="F57" i="17" s="1"/>
  <c r="G57" i="17" s="1"/>
  <c r="G19" i="17"/>
  <c r="F19" i="17"/>
  <c r="E19" i="17"/>
  <c r="D19" i="17"/>
  <c r="C19" i="17"/>
  <c r="M54" i="31" l="1"/>
  <c r="N8" i="31"/>
  <c r="B66" i="20"/>
  <c r="B66" i="29"/>
  <c r="E66" i="29" s="1"/>
  <c r="H66" i="12" s="1"/>
  <c r="B47" i="20"/>
  <c r="B49" i="29"/>
  <c r="E49" i="29" s="1"/>
  <c r="H49" i="12" s="1"/>
  <c r="B15" i="1"/>
  <c r="N54" i="31" l="1"/>
  <c r="O8" i="31"/>
  <c r="B55" i="14"/>
  <c r="B55" i="15" s="1"/>
  <c r="B55" i="16" s="1"/>
  <c r="C56" i="17"/>
  <c r="O54" i="31" l="1"/>
  <c r="P8" i="31"/>
  <c r="B55" i="20"/>
  <c r="B55" i="29"/>
  <c r="E55" i="29" s="1"/>
  <c r="H55" i="12" s="1"/>
  <c r="B48" i="15"/>
  <c r="B48" i="16" s="1"/>
  <c r="B48" i="29" s="1"/>
  <c r="E48" i="29" s="1"/>
  <c r="H48" i="12" s="1"/>
  <c r="F26" i="19"/>
  <c r="G26" i="19" s="1"/>
  <c r="P54" i="31" l="1"/>
  <c r="Q8" i="31"/>
  <c r="B48" i="20"/>
  <c r="C31" i="13"/>
  <c r="C31" i="16"/>
  <c r="Q54" i="31" l="1"/>
  <c r="C33" i="16"/>
  <c r="C35" i="16"/>
  <c r="D29" i="17"/>
  <c r="E29" i="17" s="1"/>
  <c r="F29" i="17" s="1"/>
  <c r="G29" i="17" s="1"/>
  <c r="I29" i="19" l="1"/>
  <c r="D29" i="19"/>
  <c r="E29" i="19" s="1"/>
  <c r="F29" i="19" s="1"/>
  <c r="G29" i="19" s="1"/>
  <c r="F23" i="19"/>
  <c r="G23" i="19" s="1"/>
  <c r="F22" i="19"/>
  <c r="G22" i="19" s="1"/>
  <c r="E21" i="19"/>
  <c r="F21" i="19" s="1"/>
  <c r="G21" i="19" s="1"/>
  <c r="E20" i="19"/>
  <c r="F20" i="19" s="1"/>
  <c r="G20" i="19" s="1"/>
  <c r="E25" i="17" l="1"/>
  <c r="F25" i="17" s="1"/>
  <c r="G25" i="17" s="1"/>
  <c r="D17" i="17"/>
  <c r="E17" i="17" s="1"/>
  <c r="C10" i="17"/>
  <c r="G10" i="17"/>
  <c r="F10" i="17"/>
  <c r="E10" i="17"/>
  <c r="D10" i="17"/>
  <c r="E10" i="19"/>
  <c r="F8" i="19"/>
  <c r="G8" i="19" s="1"/>
  <c r="E6" i="29" l="1"/>
  <c r="H5" i="21" s="1"/>
  <c r="G20" i="22"/>
  <c r="E5" i="29" s="1"/>
  <c r="H4" i="21" s="1"/>
  <c r="G10" i="19"/>
  <c r="C31" i="15"/>
  <c r="F6" i="19"/>
  <c r="G6" i="19" s="1"/>
  <c r="F17" i="17"/>
  <c r="B61" i="16"/>
  <c r="D7" i="17"/>
  <c r="E7" i="17" s="1"/>
  <c r="F7" i="17" s="1"/>
  <c r="E5" i="17"/>
  <c r="F5" i="17" s="1"/>
  <c r="E52" i="20"/>
  <c r="E52" i="16"/>
  <c r="E52" i="15"/>
  <c r="E52" i="14"/>
  <c r="B52" i="1"/>
  <c r="E52" i="1" s="1"/>
  <c r="E52" i="13"/>
  <c r="C18" i="13"/>
  <c r="E18" i="13" s="1"/>
  <c r="B30" i="19"/>
  <c r="B36" i="19" s="1"/>
  <c r="C30" i="19"/>
  <c r="C36" i="19" s="1"/>
  <c r="E20" i="20"/>
  <c r="G20" i="12"/>
  <c r="E24" i="20"/>
  <c r="G24" i="12" s="1"/>
  <c r="E20" i="16"/>
  <c r="F20" i="12" s="1"/>
  <c r="E20" i="14"/>
  <c r="D20" i="12" s="1"/>
  <c r="E20" i="13"/>
  <c r="C20" i="12" s="1"/>
  <c r="E22" i="1"/>
  <c r="B22" i="12" s="1"/>
  <c r="E17" i="1"/>
  <c r="B17" i="12" s="1"/>
  <c r="B19" i="13"/>
  <c r="E19" i="13" s="1"/>
  <c r="B9" i="20"/>
  <c r="E9" i="20" s="1"/>
  <c r="B9" i="16"/>
  <c r="E9" i="16" s="1"/>
  <c r="B9" i="15"/>
  <c r="E9" i="15" s="1"/>
  <c r="B9" i="14"/>
  <c r="E9" i="14" s="1"/>
  <c r="B9" i="13"/>
  <c r="E9" i="13" s="1"/>
  <c r="G45" i="19"/>
  <c r="F45" i="19"/>
  <c r="E45" i="19"/>
  <c r="D45" i="19"/>
  <c r="D44" i="19"/>
  <c r="E47" i="20"/>
  <c r="E47" i="16"/>
  <c r="E47" i="15"/>
  <c r="E47" i="14"/>
  <c r="E47" i="13"/>
  <c r="E47" i="1"/>
  <c r="E10" i="14"/>
  <c r="E10" i="1"/>
  <c r="B10" i="12"/>
  <c r="C44" i="19"/>
  <c r="B44" i="19"/>
  <c r="D73" i="20"/>
  <c r="E34" i="20"/>
  <c r="E39" i="20"/>
  <c r="G39" i="12" s="1"/>
  <c r="E43" i="20"/>
  <c r="G43" i="12" s="1"/>
  <c r="E44" i="20"/>
  <c r="E45" i="20"/>
  <c r="E46" i="20"/>
  <c r="G46" i="12" s="1"/>
  <c r="E48" i="20"/>
  <c r="G48" i="12" s="1"/>
  <c r="E49" i="20"/>
  <c r="E55" i="20"/>
  <c r="E65" i="20"/>
  <c r="E66" i="20"/>
  <c r="E67" i="20"/>
  <c r="G67" i="12"/>
  <c r="E70" i="20"/>
  <c r="G70" i="12" s="1"/>
  <c r="G28" i="21" s="1"/>
  <c r="D28" i="20"/>
  <c r="E12" i="20"/>
  <c r="G12" i="12" s="1"/>
  <c r="E25" i="20"/>
  <c r="G25" i="12" s="1"/>
  <c r="D73" i="16"/>
  <c r="E34" i="16"/>
  <c r="F34" i="12" s="1"/>
  <c r="E39" i="16"/>
  <c r="F39" i="12" s="1"/>
  <c r="E43" i="16"/>
  <c r="E44" i="16"/>
  <c r="E45" i="16"/>
  <c r="F45" i="12" s="1"/>
  <c r="E46" i="16"/>
  <c r="E48" i="16"/>
  <c r="E49" i="16"/>
  <c r="E55" i="16"/>
  <c r="E65" i="16"/>
  <c r="E66" i="16"/>
  <c r="E67" i="16"/>
  <c r="E70" i="16"/>
  <c r="F70" i="12" s="1"/>
  <c r="F28" i="21" s="1"/>
  <c r="D28" i="16"/>
  <c r="E12" i="16"/>
  <c r="F12" i="12" s="1"/>
  <c r="E24" i="16"/>
  <c r="F24" i="12" s="1"/>
  <c r="E25" i="16"/>
  <c r="F25" i="12" s="1"/>
  <c r="D73" i="15"/>
  <c r="E34" i="15"/>
  <c r="E39" i="15"/>
  <c r="E39" i="12" s="1"/>
  <c r="E43" i="15"/>
  <c r="E44" i="15"/>
  <c r="E45" i="15"/>
  <c r="E46" i="15"/>
  <c r="E46" i="12" s="1"/>
  <c r="E48" i="15"/>
  <c r="E48" i="12" s="1"/>
  <c r="E49" i="15"/>
  <c r="E55" i="15"/>
  <c r="E55" i="12" s="1"/>
  <c r="E65" i="15"/>
  <c r="E66" i="15"/>
  <c r="E66" i="12" s="1"/>
  <c r="E67" i="15"/>
  <c r="E67" i="12" s="1"/>
  <c r="E70" i="15"/>
  <c r="D28" i="15"/>
  <c r="E12" i="15"/>
  <c r="E12" i="12" s="1"/>
  <c r="E20" i="15"/>
  <c r="E20" i="12" s="1"/>
  <c r="E24" i="15"/>
  <c r="E24" i="12" s="1"/>
  <c r="E25" i="15"/>
  <c r="E25" i="12"/>
  <c r="E12" i="14"/>
  <c r="D12" i="12" s="1"/>
  <c r="E24" i="14"/>
  <c r="D24" i="12" s="1"/>
  <c r="E34" i="14"/>
  <c r="D34" i="12" s="1"/>
  <c r="E39" i="14"/>
  <c r="D39" i="12" s="1"/>
  <c r="E45" i="14"/>
  <c r="E48" i="14"/>
  <c r="E49" i="14"/>
  <c r="E55" i="14"/>
  <c r="E65" i="14"/>
  <c r="E66" i="14"/>
  <c r="E70" i="14"/>
  <c r="D70" i="12" s="1"/>
  <c r="D28" i="21" s="1"/>
  <c r="E34" i="13"/>
  <c r="C34" i="12" s="1"/>
  <c r="E39" i="13"/>
  <c r="C39" i="12" s="1"/>
  <c r="E45" i="13"/>
  <c r="C45" i="12" s="1"/>
  <c r="E48" i="13"/>
  <c r="E49" i="13"/>
  <c r="C49" i="12" s="1"/>
  <c r="E55" i="13"/>
  <c r="E65" i="13"/>
  <c r="C65" i="12" s="1"/>
  <c r="E66" i="13"/>
  <c r="C66" i="12" s="1"/>
  <c r="E70" i="13"/>
  <c r="C70" i="12" s="1"/>
  <c r="C28" i="21" s="1"/>
  <c r="E72" i="13"/>
  <c r="E11" i="13"/>
  <c r="E12" i="13"/>
  <c r="C12" i="12" s="1"/>
  <c r="E13" i="13"/>
  <c r="E15" i="13"/>
  <c r="E24" i="13"/>
  <c r="C24" i="12" s="1"/>
  <c r="E32" i="1"/>
  <c r="B32" i="12" s="1"/>
  <c r="E35" i="1"/>
  <c r="E39" i="1"/>
  <c r="E40" i="1"/>
  <c r="E42" i="1"/>
  <c r="B42" i="12" s="1"/>
  <c r="E45" i="1"/>
  <c r="E48" i="1"/>
  <c r="B48" i="12" s="1"/>
  <c r="E49" i="1"/>
  <c r="B49" i="12" s="1"/>
  <c r="E50" i="1"/>
  <c r="B50" i="12" s="1"/>
  <c r="B22" i="21" s="1"/>
  <c r="E51" i="1"/>
  <c r="E54" i="1"/>
  <c r="B54" i="12"/>
  <c r="E55" i="1"/>
  <c r="E56" i="1"/>
  <c r="B56" i="12" s="1"/>
  <c r="E59" i="1"/>
  <c r="B59" i="12"/>
  <c r="E60" i="1"/>
  <c r="B60" i="12" s="1"/>
  <c r="E61" i="1"/>
  <c r="E62" i="1"/>
  <c r="E63" i="1"/>
  <c r="B63" i="12"/>
  <c r="E65" i="1"/>
  <c r="B65" i="12" s="1"/>
  <c r="E66" i="1"/>
  <c r="B66" i="12" s="1"/>
  <c r="E69" i="1"/>
  <c r="B69" i="12" s="1"/>
  <c r="E70" i="1"/>
  <c r="B70" i="12" s="1"/>
  <c r="B28" i="21" s="1"/>
  <c r="E71" i="1"/>
  <c r="B71" i="12" s="1"/>
  <c r="B23" i="21" s="1"/>
  <c r="E72" i="1"/>
  <c r="E9" i="1"/>
  <c r="B9" i="12" s="1"/>
  <c r="E11" i="1"/>
  <c r="B11" i="12"/>
  <c r="B13" i="21"/>
  <c r="E12" i="1"/>
  <c r="B12" i="12" s="1"/>
  <c r="E13" i="1"/>
  <c r="B13" i="12" s="1"/>
  <c r="E14" i="1"/>
  <c r="E15" i="1"/>
  <c r="E16" i="1"/>
  <c r="B16" i="12" s="1"/>
  <c r="E18" i="1"/>
  <c r="B18" i="12" s="1"/>
  <c r="E19" i="1"/>
  <c r="B19" i="12" s="1"/>
  <c r="E20" i="1"/>
  <c r="B20" i="12" s="1"/>
  <c r="E21" i="1"/>
  <c r="B21" i="12" s="1"/>
  <c r="E23" i="1"/>
  <c r="B23" i="12"/>
  <c r="E24" i="1"/>
  <c r="B24" i="12" s="1"/>
  <c r="E25" i="1"/>
  <c r="B25" i="12" s="1"/>
  <c r="E27" i="1"/>
  <c r="B27" i="12" s="1"/>
  <c r="B39" i="12"/>
  <c r="E78" i="1"/>
  <c r="E67" i="14"/>
  <c r="C35" i="13"/>
  <c r="D64" i="1"/>
  <c r="E64" i="1" s="1"/>
  <c r="E10" i="15"/>
  <c r="E10" i="13"/>
  <c r="B20" i="22"/>
  <c r="E5" i="13" s="1"/>
  <c r="C5" i="19" s="1"/>
  <c r="B28" i="1"/>
  <c r="C28" i="1"/>
  <c r="B27" i="16"/>
  <c r="E27" i="16" s="1"/>
  <c r="B3" i="1"/>
  <c r="A2" i="1" s="1"/>
  <c r="B3" i="13"/>
  <c r="A2" i="13" s="1"/>
  <c r="C61" i="17"/>
  <c r="E41" i="13" s="1"/>
  <c r="B22" i="22"/>
  <c r="E6" i="13" s="1"/>
  <c r="F20" i="22"/>
  <c r="B51" i="20" s="1"/>
  <c r="E51" i="20" s="1"/>
  <c r="E78" i="20"/>
  <c r="E78" i="16"/>
  <c r="F78" i="12" s="1"/>
  <c r="E78" i="15"/>
  <c r="E78" i="12" s="1"/>
  <c r="E78" i="14"/>
  <c r="D34" i="21" s="1"/>
  <c r="E78" i="13"/>
  <c r="C34" i="21" s="1"/>
  <c r="C78" i="12"/>
  <c r="C33" i="24"/>
  <c r="C4" i="24" s="1"/>
  <c r="D31" i="1"/>
  <c r="D53" i="1" s="1"/>
  <c r="D43" i="1"/>
  <c r="E43" i="1" s="1"/>
  <c r="B43" i="12" s="1"/>
  <c r="D44" i="1"/>
  <c r="D46" i="1"/>
  <c r="E46" i="1" s="1"/>
  <c r="B46" i="12" s="1"/>
  <c r="D57" i="1"/>
  <c r="E57" i="1" s="1"/>
  <c r="D58" i="1"/>
  <c r="E58" i="1" s="1"/>
  <c r="B58" i="12" s="1"/>
  <c r="D67" i="1"/>
  <c r="E67" i="1" s="1"/>
  <c r="D68" i="1"/>
  <c r="E68" i="1" s="1"/>
  <c r="D43" i="14"/>
  <c r="E43" i="14" s="1"/>
  <c r="D44" i="14"/>
  <c r="E44" i="14" s="1"/>
  <c r="D46" i="14"/>
  <c r="E46" i="14" s="1"/>
  <c r="D57" i="14"/>
  <c r="D58" i="14"/>
  <c r="D15" i="19"/>
  <c r="D35" i="19" s="1"/>
  <c r="D30" i="19"/>
  <c r="D36" i="19" s="1"/>
  <c r="D64" i="14"/>
  <c r="E6" i="14"/>
  <c r="E85" i="14" s="1"/>
  <c r="E30" i="19"/>
  <c r="E36" i="19" s="1"/>
  <c r="E6" i="15"/>
  <c r="E6" i="20"/>
  <c r="D43" i="13"/>
  <c r="E43" i="13" s="1"/>
  <c r="C43" i="12" s="1"/>
  <c r="D44" i="13"/>
  <c r="E44" i="13" s="1"/>
  <c r="C44" i="12" s="1"/>
  <c r="D46" i="13"/>
  <c r="E46" i="13" s="1"/>
  <c r="C46" i="12" s="1"/>
  <c r="D57" i="13"/>
  <c r="D58" i="13"/>
  <c r="C15" i="19"/>
  <c r="C35" i="19" s="1"/>
  <c r="D64" i="13"/>
  <c r="E64" i="13" s="1"/>
  <c r="E67" i="13"/>
  <c r="C33" i="13"/>
  <c r="B32" i="19"/>
  <c r="E27" i="14"/>
  <c r="B27" i="15"/>
  <c r="E27" i="15" s="1"/>
  <c r="B27" i="20"/>
  <c r="E27" i="20" s="1"/>
  <c r="B27" i="13"/>
  <c r="E27" i="13" s="1"/>
  <c r="D33" i="24"/>
  <c r="D4" i="24" s="1"/>
  <c r="E8" i="14"/>
  <c r="D8" i="12" s="1"/>
  <c r="C45" i="19"/>
  <c r="B35" i="12"/>
  <c r="B38" i="1"/>
  <c r="B40" i="12"/>
  <c r="B72" i="12"/>
  <c r="B51" i="12"/>
  <c r="B5" i="19"/>
  <c r="B17" i="19" s="1"/>
  <c r="B45" i="19"/>
  <c r="B15" i="19"/>
  <c r="B35" i="19" s="1"/>
  <c r="B61" i="17"/>
  <c r="B41" i="1" s="1"/>
  <c r="E41" i="1" s="1"/>
  <c r="B33" i="24"/>
  <c r="B4" i="24" s="1"/>
  <c r="D26" i="1" s="1"/>
  <c r="D28" i="1" s="1"/>
  <c r="B35" i="24"/>
  <c r="B5" i="21"/>
  <c r="B6" i="12"/>
  <c r="B83" i="12"/>
  <c r="B39" i="21" s="1"/>
  <c r="B3" i="20"/>
  <c r="A2" i="20" s="1"/>
  <c r="B3" i="16"/>
  <c r="A2" i="16" s="1"/>
  <c r="E8" i="16"/>
  <c r="F8" i="12" s="1"/>
  <c r="B3" i="15"/>
  <c r="A2" i="15" s="1"/>
  <c r="E8" i="15"/>
  <c r="E8" i="12" s="1"/>
  <c r="C11" i="12"/>
  <c r="C13" i="21" s="1"/>
  <c r="B14" i="12"/>
  <c r="B61" i="12"/>
  <c r="B86" i="12"/>
  <c r="B42" i="21" s="1"/>
  <c r="A1" i="17"/>
  <c r="B4" i="17"/>
  <c r="C4" i="17"/>
  <c r="D4" i="17"/>
  <c r="E4" i="17"/>
  <c r="F4" i="17"/>
  <c r="G4" i="17"/>
  <c r="B37" i="1"/>
  <c r="E37" i="1" s="1"/>
  <c r="B4" i="19"/>
  <c r="C4" i="19"/>
  <c r="D4" i="19"/>
  <c r="E4" i="19"/>
  <c r="F4" i="19"/>
  <c r="G4" i="19"/>
  <c r="A32" i="23"/>
  <c r="E8" i="20"/>
  <c r="G8" i="12" s="1"/>
  <c r="B36" i="1"/>
  <c r="E36" i="1" s="1"/>
  <c r="E44" i="1"/>
  <c r="B44" i="12" s="1"/>
  <c r="D75" i="20"/>
  <c r="D80" i="20" s="1"/>
  <c r="G34" i="21"/>
  <c r="G78" i="12"/>
  <c r="C73" i="1"/>
  <c r="E8" i="1"/>
  <c r="B8" i="12" s="1"/>
  <c r="E8" i="13"/>
  <c r="C8" i="12" s="1"/>
  <c r="A1" i="21"/>
  <c r="A1" i="16"/>
  <c r="E10" i="16"/>
  <c r="F34" i="21"/>
  <c r="D5" i="21" l="1"/>
  <c r="B99" i="12"/>
  <c r="D99" i="12"/>
  <c r="F15" i="19"/>
  <c r="F35" i="19" s="1"/>
  <c r="E13" i="14"/>
  <c r="D13" i="12" s="1"/>
  <c r="A1" i="12"/>
  <c r="A1" i="29"/>
  <c r="E69" i="14"/>
  <c r="D69" i="12" s="1"/>
  <c r="B61" i="14"/>
  <c r="E61" i="14" s="1"/>
  <c r="B71" i="14"/>
  <c r="D35" i="24"/>
  <c r="D75" i="16"/>
  <c r="D80" i="16" s="1"/>
  <c r="B61" i="15"/>
  <c r="E61" i="15" s="1"/>
  <c r="E61" i="12" s="1"/>
  <c r="B64" i="29"/>
  <c r="E64" i="29" s="1"/>
  <c r="H64" i="12" s="1"/>
  <c r="H25" i="21" s="1"/>
  <c r="B64" i="20"/>
  <c r="E64" i="20" s="1"/>
  <c r="G64" i="12" s="1"/>
  <c r="B64" i="16"/>
  <c r="E64" i="16" s="1"/>
  <c r="F64" i="12" s="1"/>
  <c r="B64" i="15"/>
  <c r="E64" i="15" s="1"/>
  <c r="E64" i="12" s="1"/>
  <c r="C31" i="20"/>
  <c r="C31" i="29"/>
  <c r="E15" i="19"/>
  <c r="E35" i="19" s="1"/>
  <c r="E37" i="19" s="1"/>
  <c r="F44" i="19"/>
  <c r="F98" i="12" s="1"/>
  <c r="B51" i="29"/>
  <c r="E51" i="29" s="1"/>
  <c r="H51" i="12" s="1"/>
  <c r="B69" i="29"/>
  <c r="E69" i="29" s="1"/>
  <c r="H69" i="12" s="1"/>
  <c r="B61" i="29"/>
  <c r="E61" i="29" s="1"/>
  <c r="H61" i="12" s="1"/>
  <c r="B56" i="29"/>
  <c r="E56" i="29" s="1"/>
  <c r="H56" i="12" s="1"/>
  <c r="B61" i="20"/>
  <c r="E61" i="20" s="1"/>
  <c r="G61" i="12" s="1"/>
  <c r="B63" i="29"/>
  <c r="E63" i="29" s="1"/>
  <c r="H63" i="12" s="1"/>
  <c r="B42" i="29"/>
  <c r="E42" i="29" s="1"/>
  <c r="H42" i="12" s="1"/>
  <c r="B62" i="29"/>
  <c r="E62" i="29" s="1"/>
  <c r="H62" i="12" s="1"/>
  <c r="B57" i="29"/>
  <c r="E57" i="29" s="1"/>
  <c r="H57" i="12" s="1"/>
  <c r="E6" i="16"/>
  <c r="B26" i="16" s="1"/>
  <c r="B50" i="16" s="1"/>
  <c r="E5" i="15"/>
  <c r="E4" i="21" s="1"/>
  <c r="F9" i="17"/>
  <c r="C18" i="16" s="1"/>
  <c r="E18" i="16" s="1"/>
  <c r="F18" i="12" s="1"/>
  <c r="B15" i="29"/>
  <c r="E15" i="29" s="1"/>
  <c r="H15" i="12" s="1"/>
  <c r="H12" i="21" s="1"/>
  <c r="E5" i="14"/>
  <c r="B56" i="14"/>
  <c r="E56" i="14" s="1"/>
  <c r="D56" i="12" s="1"/>
  <c r="B51" i="14"/>
  <c r="E51" i="14" s="1"/>
  <c r="D51" i="12" s="1"/>
  <c r="E69" i="13"/>
  <c r="C69" i="12" s="1"/>
  <c r="B72" i="14"/>
  <c r="E56" i="13"/>
  <c r="E44" i="19"/>
  <c r="E98" i="12" s="1"/>
  <c r="D98" i="12"/>
  <c r="B56" i="20"/>
  <c r="E56" i="20" s="1"/>
  <c r="G56" i="12" s="1"/>
  <c r="B56" i="16"/>
  <c r="E56" i="16" s="1"/>
  <c r="F56" i="12" s="1"/>
  <c r="E61" i="13"/>
  <c r="C61" i="12" s="1"/>
  <c r="E51" i="13"/>
  <c r="C51" i="12" s="1"/>
  <c r="B29" i="21"/>
  <c r="C35" i="24"/>
  <c r="C75" i="1"/>
  <c r="C80" i="1" s="1"/>
  <c r="E34" i="21"/>
  <c r="E42" i="13"/>
  <c r="C42" i="12" s="1"/>
  <c r="C5" i="12"/>
  <c r="D73" i="13"/>
  <c r="B19" i="21"/>
  <c r="B69" i="20"/>
  <c r="E69" i="20" s="1"/>
  <c r="G69" i="12" s="1"/>
  <c r="C33" i="15"/>
  <c r="C35" i="15"/>
  <c r="E5" i="20"/>
  <c r="A1" i="15"/>
  <c r="A1" i="1"/>
  <c r="D78" i="12"/>
  <c r="E61" i="16"/>
  <c r="F61" i="12" s="1"/>
  <c r="D34" i="1"/>
  <c r="D33" i="1"/>
  <c r="D73" i="1" s="1"/>
  <c r="D75" i="1" s="1"/>
  <c r="D80" i="1" s="1"/>
  <c r="B31" i="1"/>
  <c r="B53" i="1" s="1"/>
  <c r="E53" i="1" s="1"/>
  <c r="E16" i="17"/>
  <c r="C23" i="15" s="1"/>
  <c r="E23" i="15" s="1"/>
  <c r="E23" i="12" s="1"/>
  <c r="B69" i="15"/>
  <c r="E69" i="15" s="1"/>
  <c r="E69" i="12" s="1"/>
  <c r="B10" i="21"/>
  <c r="A1" i="13"/>
  <c r="D73" i="14"/>
  <c r="B51" i="16"/>
  <c r="E51" i="16" s="1"/>
  <c r="F51" i="12" s="1"/>
  <c r="B98" i="12"/>
  <c r="B51" i="15"/>
  <c r="E51" i="15" s="1"/>
  <c r="E51" i="12" s="1"/>
  <c r="E64" i="14"/>
  <c r="D64" i="12" s="1"/>
  <c r="B41" i="17"/>
  <c r="D56" i="17"/>
  <c r="B9" i="21"/>
  <c r="F30" i="19"/>
  <c r="F36" i="19" s="1"/>
  <c r="F37" i="19" s="1"/>
  <c r="E32" i="14"/>
  <c r="D32" i="12" s="1"/>
  <c r="C98" i="12"/>
  <c r="G65" i="12"/>
  <c r="G66" i="12"/>
  <c r="F65" i="12"/>
  <c r="F66" i="12"/>
  <c r="F67" i="12"/>
  <c r="E70" i="12"/>
  <c r="E28" i="21" s="1"/>
  <c r="E65" i="12"/>
  <c r="G55" i="12"/>
  <c r="F55" i="12"/>
  <c r="G47" i="12"/>
  <c r="G49" i="12"/>
  <c r="G44" i="12"/>
  <c r="G45" i="12"/>
  <c r="F48" i="12"/>
  <c r="F43" i="12"/>
  <c r="F44" i="12"/>
  <c r="F49" i="12"/>
  <c r="F47" i="12"/>
  <c r="F46" i="12"/>
  <c r="E43" i="12"/>
  <c r="E44" i="12"/>
  <c r="E47" i="12"/>
  <c r="E49" i="12"/>
  <c r="E45" i="12"/>
  <c r="D45" i="12"/>
  <c r="D67" i="12"/>
  <c r="D65" i="12"/>
  <c r="D66" i="12"/>
  <c r="D55" i="12"/>
  <c r="D49" i="12"/>
  <c r="D46" i="12"/>
  <c r="D44" i="12"/>
  <c r="D48" i="12"/>
  <c r="D47" i="12"/>
  <c r="D43" i="12"/>
  <c r="G34" i="12"/>
  <c r="E34" i="12"/>
  <c r="D75" i="15"/>
  <c r="D80" i="15" s="1"/>
  <c r="B45" i="12"/>
  <c r="B68" i="12"/>
  <c r="B62" i="12"/>
  <c r="B24" i="21" s="1"/>
  <c r="B57" i="12"/>
  <c r="B55" i="12"/>
  <c r="B47" i="12"/>
  <c r="B102" i="12" s="1"/>
  <c r="B67" i="12"/>
  <c r="B64" i="12"/>
  <c r="B25" i="21" s="1"/>
  <c r="B15" i="12"/>
  <c r="B12" i="21" s="1"/>
  <c r="C67" i="12"/>
  <c r="C47" i="12"/>
  <c r="C64" i="12"/>
  <c r="C25" i="21" s="1"/>
  <c r="C52" i="12"/>
  <c r="C56" i="12"/>
  <c r="G51" i="12"/>
  <c r="B36" i="12"/>
  <c r="G27" i="12"/>
  <c r="G8" i="21" s="1"/>
  <c r="D10" i="12"/>
  <c r="E9" i="12"/>
  <c r="B52" i="12"/>
  <c r="B27" i="21" s="1"/>
  <c r="G52" i="12"/>
  <c r="G27" i="21" s="1"/>
  <c r="B37" i="12"/>
  <c r="B41" i="12"/>
  <c r="C19" i="12"/>
  <c r="F52" i="12"/>
  <c r="F27" i="21" s="1"/>
  <c r="F10" i="12"/>
  <c r="G9" i="12"/>
  <c r="C27" i="12"/>
  <c r="C8" i="21" s="1"/>
  <c r="D27" i="12"/>
  <c r="D8" i="21" s="1"/>
  <c r="E10" i="12"/>
  <c r="E52" i="12"/>
  <c r="E27" i="21" s="1"/>
  <c r="C10" i="12"/>
  <c r="E27" i="12"/>
  <c r="E8" i="21" s="1"/>
  <c r="F27" i="12"/>
  <c r="F8" i="21" s="1"/>
  <c r="F9" i="12"/>
  <c r="C18" i="12"/>
  <c r="D52" i="12"/>
  <c r="D27" i="21" s="1"/>
  <c r="C15" i="12"/>
  <c r="C12" i="21" s="1"/>
  <c r="C41" i="12"/>
  <c r="C72" i="12"/>
  <c r="C48" i="12"/>
  <c r="C13" i="12"/>
  <c r="C55" i="12"/>
  <c r="D28" i="14"/>
  <c r="E25" i="14"/>
  <c r="D25" i="12" s="1"/>
  <c r="D28" i="13"/>
  <c r="E25" i="13"/>
  <c r="C25" i="12" s="1"/>
  <c r="B11" i="21"/>
  <c r="D14" i="17"/>
  <c r="E21" i="14" s="1"/>
  <c r="D8" i="17"/>
  <c r="D13" i="17"/>
  <c r="D15" i="17"/>
  <c r="E22" i="14" s="1"/>
  <c r="D9" i="17"/>
  <c r="E18" i="14" s="1"/>
  <c r="D16" i="17"/>
  <c r="E23" i="14" s="1"/>
  <c r="B56" i="15"/>
  <c r="E56" i="15" s="1"/>
  <c r="E15" i="17"/>
  <c r="C22" i="15" s="1"/>
  <c r="E22" i="15" s="1"/>
  <c r="E8" i="17"/>
  <c r="B17" i="15" s="1"/>
  <c r="E17" i="15" s="1"/>
  <c r="E13" i="17"/>
  <c r="B19" i="15" s="1"/>
  <c r="E19" i="15" s="1"/>
  <c r="B69" i="16"/>
  <c r="E69" i="16" s="1"/>
  <c r="E14" i="17"/>
  <c r="C21" i="15" s="1"/>
  <c r="E21" i="15" s="1"/>
  <c r="E5" i="16"/>
  <c r="F15" i="17"/>
  <c r="C22" i="16" s="1"/>
  <c r="E22" i="16" s="1"/>
  <c r="F8" i="17"/>
  <c r="B17" i="16" s="1"/>
  <c r="E17" i="16" s="1"/>
  <c r="F13" i="17"/>
  <c r="B19" i="16" s="1"/>
  <c r="E19" i="16" s="1"/>
  <c r="G17" i="17"/>
  <c r="G14" i="17" s="1"/>
  <c r="F14" i="17"/>
  <c r="C21" i="16" s="1"/>
  <c r="E21" i="16" s="1"/>
  <c r="E9" i="17"/>
  <c r="C18" i="15" s="1"/>
  <c r="F16" i="17"/>
  <c r="C23" i="16" s="1"/>
  <c r="E23" i="16" s="1"/>
  <c r="C8" i="17"/>
  <c r="E17" i="13" s="1"/>
  <c r="C16" i="17"/>
  <c r="C23" i="13" s="1"/>
  <c r="E23" i="13" s="1"/>
  <c r="C15" i="17"/>
  <c r="E22" i="13" s="1"/>
  <c r="C14" i="17"/>
  <c r="E14" i="13"/>
  <c r="C37" i="19"/>
  <c r="E36" i="13" s="1"/>
  <c r="C73" i="13"/>
  <c r="G9" i="17"/>
  <c r="G8" i="17"/>
  <c r="G15" i="17"/>
  <c r="G13" i="17"/>
  <c r="G16" i="17"/>
  <c r="D37" i="19"/>
  <c r="B37" i="19"/>
  <c r="C99" i="12"/>
  <c r="B32" i="16"/>
  <c r="E32" i="16" s="1"/>
  <c r="B32" i="13"/>
  <c r="E32" i="13" s="1"/>
  <c r="B47" i="19"/>
  <c r="A1" i="14"/>
  <c r="A1" i="19"/>
  <c r="A1" i="22"/>
  <c r="A1" i="20"/>
  <c r="E16" i="13"/>
  <c r="G5" i="21"/>
  <c r="B26" i="13"/>
  <c r="C5" i="21"/>
  <c r="C6" i="12"/>
  <c r="G7" i="17"/>
  <c r="B16" i="29" s="1"/>
  <c r="E16" i="29" s="1"/>
  <c r="H16" i="12" s="1"/>
  <c r="G5" i="17"/>
  <c r="B26" i="20" s="1"/>
  <c r="B50" i="20" s="1"/>
  <c r="C17" i="19"/>
  <c r="C39" i="19"/>
  <c r="D9" i="12"/>
  <c r="C9" i="12"/>
  <c r="F9" i="21"/>
  <c r="E6" i="12"/>
  <c r="B26" i="15"/>
  <c r="B50" i="15" s="1"/>
  <c r="B26" i="14"/>
  <c r="E63" i="13"/>
  <c r="C4" i="21"/>
  <c r="E26" i="1"/>
  <c r="E38" i="1"/>
  <c r="E5" i="21"/>
  <c r="E10" i="20"/>
  <c r="B14" i="21"/>
  <c r="G6" i="12"/>
  <c r="D6" i="12"/>
  <c r="E57" i="13"/>
  <c r="E62" i="13"/>
  <c r="D4" i="21" l="1"/>
  <c r="B42" i="14"/>
  <c r="E42" i="14" s="1"/>
  <c r="D42" i="12" s="1"/>
  <c r="B68" i="29"/>
  <c r="E68" i="29" s="1"/>
  <c r="H68" i="12" s="1"/>
  <c r="H26" i="21" s="1"/>
  <c r="B58" i="30"/>
  <c r="E58" i="30" s="1"/>
  <c r="B36" i="30"/>
  <c r="B38" i="30"/>
  <c r="B68" i="30"/>
  <c r="B37" i="30"/>
  <c r="B19" i="14"/>
  <c r="E19" i="14" s="1"/>
  <c r="D19" i="12" s="1"/>
  <c r="B19" i="30"/>
  <c r="E17" i="14"/>
  <c r="B17" i="30"/>
  <c r="B32" i="15"/>
  <c r="E32" i="15" s="1"/>
  <c r="E32" i="12" s="1"/>
  <c r="B13" i="15"/>
  <c r="E13" i="15" s="1"/>
  <c r="E13" i="12" s="1"/>
  <c r="B57" i="14"/>
  <c r="E57" i="14" s="1"/>
  <c r="D57" i="12" s="1"/>
  <c r="E14" i="14"/>
  <c r="D14" i="12" s="1"/>
  <c r="D14" i="21" s="1"/>
  <c r="D5" i="12"/>
  <c r="B62" i="14"/>
  <c r="E62" i="14" s="1"/>
  <c r="F99" i="12"/>
  <c r="E99" i="12"/>
  <c r="B34" i="1"/>
  <c r="B33" i="1"/>
  <c r="E33" i="1" s="1"/>
  <c r="C35" i="29"/>
  <c r="C33" i="29"/>
  <c r="C33" i="20"/>
  <c r="C35" i="20"/>
  <c r="D75" i="13"/>
  <c r="D80" i="13" s="1"/>
  <c r="B26" i="29"/>
  <c r="B50" i="29" s="1"/>
  <c r="E50" i="29" s="1"/>
  <c r="H50" i="12" s="1"/>
  <c r="B16" i="15"/>
  <c r="E16" i="15" s="1"/>
  <c r="E16" i="12" s="1"/>
  <c r="C23" i="20"/>
  <c r="E23" i="20" s="1"/>
  <c r="G23" i="12" s="1"/>
  <c r="C23" i="29"/>
  <c r="E23" i="29" s="1"/>
  <c r="H23" i="12" s="1"/>
  <c r="B19" i="20"/>
  <c r="E19" i="20" s="1"/>
  <c r="B19" i="29"/>
  <c r="E19" i="29" s="1"/>
  <c r="H19" i="12" s="1"/>
  <c r="G4" i="21"/>
  <c r="G5" i="12"/>
  <c r="B17" i="20"/>
  <c r="E17" i="20" s="1"/>
  <c r="G17" i="12" s="1"/>
  <c r="B17" i="29"/>
  <c r="E17" i="29" s="1"/>
  <c r="H17" i="12" s="1"/>
  <c r="H24" i="21"/>
  <c r="C18" i="20"/>
  <c r="E18" i="20" s="1"/>
  <c r="C18" i="29"/>
  <c r="E5" i="12"/>
  <c r="C21" i="20"/>
  <c r="E21" i="20" s="1"/>
  <c r="G21" i="12" s="1"/>
  <c r="C21" i="29"/>
  <c r="E21" i="29" s="1"/>
  <c r="H21" i="12" s="1"/>
  <c r="C22" i="20"/>
  <c r="E22" i="20" s="1"/>
  <c r="G22" i="12" s="1"/>
  <c r="C22" i="29"/>
  <c r="E22" i="29" s="1"/>
  <c r="H22" i="12" s="1"/>
  <c r="E5" i="19"/>
  <c r="E17" i="19" s="1"/>
  <c r="F5" i="21"/>
  <c r="F6" i="12"/>
  <c r="B62" i="15"/>
  <c r="E62" i="15" s="1"/>
  <c r="E62" i="12" s="1"/>
  <c r="B57" i="15"/>
  <c r="E57" i="15" s="1"/>
  <c r="E57" i="12" s="1"/>
  <c r="B42" i="16"/>
  <c r="E42" i="16" s="1"/>
  <c r="F42" i="12" s="1"/>
  <c r="B63" i="15"/>
  <c r="E63" i="15" s="1"/>
  <c r="E63" i="12" s="1"/>
  <c r="B42" i="15"/>
  <c r="E42" i="15" s="1"/>
  <c r="E42" i="12" s="1"/>
  <c r="D5" i="19"/>
  <c r="D39" i="19" s="1"/>
  <c r="E16" i="14"/>
  <c r="D16" i="12" s="1"/>
  <c r="E63" i="14"/>
  <c r="D63" i="12" s="1"/>
  <c r="E71" i="13"/>
  <c r="C71" i="12" s="1"/>
  <c r="G25" i="21"/>
  <c r="D75" i="14"/>
  <c r="D80" i="14" s="1"/>
  <c r="F5" i="19"/>
  <c r="F39" i="19" s="1"/>
  <c r="B62" i="20"/>
  <c r="E62" i="20" s="1"/>
  <c r="B57" i="20"/>
  <c r="E57" i="20" s="1"/>
  <c r="G57" i="12" s="1"/>
  <c r="C28" i="16"/>
  <c r="B63" i="20"/>
  <c r="E63" i="20" s="1"/>
  <c r="G63" i="12" s="1"/>
  <c r="E31" i="1"/>
  <c r="B31" i="12" s="1"/>
  <c r="G5" i="19"/>
  <c r="G17" i="19" s="1"/>
  <c r="B42" i="20"/>
  <c r="E42" i="20" s="1"/>
  <c r="G42" i="12" s="1"/>
  <c r="B16" i="20"/>
  <c r="E16" i="20" s="1"/>
  <c r="G16" i="12" s="1"/>
  <c r="B21" i="21"/>
  <c r="B26" i="21"/>
  <c r="E28" i="1"/>
  <c r="B26" i="12"/>
  <c r="B7" i="21" s="1"/>
  <c r="D25" i="21"/>
  <c r="E9" i="21"/>
  <c r="E25" i="21"/>
  <c r="F25" i="21"/>
  <c r="B14" i="15"/>
  <c r="E68" i="13"/>
  <c r="C40" i="19"/>
  <c r="F5" i="12"/>
  <c r="F4" i="21"/>
  <c r="E37" i="13"/>
  <c r="C37" i="12" s="1"/>
  <c r="G30" i="19"/>
  <c r="G36" i="19" s="1"/>
  <c r="G15" i="19"/>
  <c r="B32" i="29" s="1"/>
  <c r="E32" i="29" s="1"/>
  <c r="H32" i="12" s="1"/>
  <c r="G44" i="19"/>
  <c r="B15" i="15"/>
  <c r="E15" i="14"/>
  <c r="D15" i="12" s="1"/>
  <c r="D12" i="21" s="1"/>
  <c r="E72" i="14"/>
  <c r="D72" i="12" s="1"/>
  <c r="D29" i="21" s="1"/>
  <c r="C28" i="14"/>
  <c r="B62" i="16"/>
  <c r="E62" i="16" s="1"/>
  <c r="F62" i="12" s="1"/>
  <c r="B57" i="16"/>
  <c r="E57" i="16" s="1"/>
  <c r="F57" i="12" s="1"/>
  <c r="E34" i="1"/>
  <c r="B34" i="12" s="1"/>
  <c r="E40" i="13"/>
  <c r="C40" i="12" s="1"/>
  <c r="E68" i="14"/>
  <c r="B16" i="16"/>
  <c r="E16" i="16" s="1"/>
  <c r="F16" i="12" s="1"/>
  <c r="B63" i="16"/>
  <c r="E63" i="16" s="1"/>
  <c r="F63" i="12" s="1"/>
  <c r="C29" i="21"/>
  <c r="E56" i="17"/>
  <c r="D61" i="17"/>
  <c r="E71" i="14"/>
  <c r="D71" i="12" s="1"/>
  <c r="D23" i="21" s="1"/>
  <c r="E38" i="13"/>
  <c r="C38" i="12" s="1"/>
  <c r="E58" i="13"/>
  <c r="C58" i="12" s="1"/>
  <c r="C9" i="21"/>
  <c r="C27" i="21"/>
  <c r="B68" i="20"/>
  <c r="E68" i="20" s="1"/>
  <c r="B68" i="15"/>
  <c r="E68" i="15" s="1"/>
  <c r="B68" i="16"/>
  <c r="E68" i="16" s="1"/>
  <c r="E40" i="14"/>
  <c r="C32" i="19"/>
  <c r="C32" i="12"/>
  <c r="C36" i="12"/>
  <c r="G62" i="12"/>
  <c r="C22" i="12"/>
  <c r="F19" i="12"/>
  <c r="E21" i="12"/>
  <c r="E22" i="12"/>
  <c r="D18" i="12"/>
  <c r="D21" i="12"/>
  <c r="C62" i="12"/>
  <c r="B38" i="12"/>
  <c r="G19" i="12"/>
  <c r="C17" i="12"/>
  <c r="D17" i="12"/>
  <c r="C57" i="12"/>
  <c r="C16" i="12"/>
  <c r="C23" i="12"/>
  <c r="F22" i="12"/>
  <c r="F69" i="12"/>
  <c r="E19" i="12"/>
  <c r="D23" i="12"/>
  <c r="C63" i="12"/>
  <c r="B53" i="12"/>
  <c r="B20" i="21" s="1"/>
  <c r="F32" i="12"/>
  <c r="F23" i="12"/>
  <c r="F17" i="12"/>
  <c r="D62" i="12"/>
  <c r="E56" i="12"/>
  <c r="D22" i="12"/>
  <c r="D61" i="12"/>
  <c r="C14" i="12"/>
  <c r="E18" i="15"/>
  <c r="C28" i="15"/>
  <c r="B28" i="13"/>
  <c r="B79" i="13" s="1"/>
  <c r="E21" i="13"/>
  <c r="C28" i="13"/>
  <c r="C75" i="13" s="1"/>
  <c r="C80" i="13" s="1"/>
  <c r="E50" i="15"/>
  <c r="E50" i="14"/>
  <c r="E50" i="13"/>
  <c r="E50" i="20"/>
  <c r="E50" i="16"/>
  <c r="B58" i="16"/>
  <c r="E58" i="16" s="1"/>
  <c r="F32" i="19"/>
  <c r="B38" i="14"/>
  <c r="E38" i="14" s="1"/>
  <c r="D32" i="19"/>
  <c r="E40" i="19"/>
  <c r="E32" i="19"/>
  <c r="B31" i="15" s="1"/>
  <c r="B58" i="14"/>
  <c r="E58" i="14" s="1"/>
  <c r="B40" i="16"/>
  <c r="E40" i="16" s="1"/>
  <c r="B36" i="14"/>
  <c r="E36" i="14" s="1"/>
  <c r="B38" i="16"/>
  <c r="E38" i="16" s="1"/>
  <c r="B37" i="14"/>
  <c r="E37" i="14" s="1"/>
  <c r="B37" i="16"/>
  <c r="E37" i="16" s="1"/>
  <c r="B36" i="16"/>
  <c r="E36" i="16" s="1"/>
  <c r="B58" i="15"/>
  <c r="E58" i="15" s="1"/>
  <c r="B36" i="15"/>
  <c r="E36" i="15" s="1"/>
  <c r="B37" i="15"/>
  <c r="E37" i="15" s="1"/>
  <c r="B40" i="15"/>
  <c r="E40" i="15" s="1"/>
  <c r="B38" i="15"/>
  <c r="E38" i="15" s="1"/>
  <c r="E26" i="13"/>
  <c r="B60" i="13"/>
  <c r="E60" i="13" s="1"/>
  <c r="E26" i="16"/>
  <c r="B60" i="16"/>
  <c r="E60" i="16" s="1"/>
  <c r="G10" i="12"/>
  <c r="B60" i="15"/>
  <c r="E26" i="15"/>
  <c r="E26" i="20"/>
  <c r="B60" i="20"/>
  <c r="E60" i="20" s="1"/>
  <c r="E17" i="12"/>
  <c r="D9" i="21"/>
  <c r="E26" i="14"/>
  <c r="B59" i="14" s="1"/>
  <c r="B60" i="14"/>
  <c r="E60" i="14" s="1"/>
  <c r="F21" i="12"/>
  <c r="B28" i="30" l="1"/>
  <c r="B31" i="30"/>
  <c r="B33" i="30" s="1"/>
  <c r="E37" i="30"/>
  <c r="F32" i="31"/>
  <c r="G32" i="31" s="1"/>
  <c r="H32" i="31" s="1"/>
  <c r="I32" i="31" s="1"/>
  <c r="J32" i="31" s="1"/>
  <c r="K32" i="31" s="1"/>
  <c r="L32" i="31" s="1"/>
  <c r="M32" i="31" s="1"/>
  <c r="N32" i="31" s="1"/>
  <c r="O32" i="31" s="1"/>
  <c r="P32" i="31" s="1"/>
  <c r="Q32" i="31" s="1"/>
  <c r="E68" i="30"/>
  <c r="F63" i="31"/>
  <c r="G63" i="31" s="1"/>
  <c r="H63" i="31" s="1"/>
  <c r="I63" i="31" s="1"/>
  <c r="J63" i="31" s="1"/>
  <c r="K63" i="31" s="1"/>
  <c r="L63" i="31" s="1"/>
  <c r="M63" i="31" s="1"/>
  <c r="N63" i="31" s="1"/>
  <c r="O63" i="31" s="1"/>
  <c r="P63" i="31" s="1"/>
  <c r="Q63" i="31" s="1"/>
  <c r="E38" i="30"/>
  <c r="F33" i="31"/>
  <c r="G33" i="31" s="1"/>
  <c r="H33" i="31" s="1"/>
  <c r="I33" i="31" s="1"/>
  <c r="J33" i="31" s="1"/>
  <c r="K33" i="31" s="1"/>
  <c r="L33" i="31" s="1"/>
  <c r="M33" i="31" s="1"/>
  <c r="N33" i="31" s="1"/>
  <c r="O33" i="31" s="1"/>
  <c r="P33" i="31" s="1"/>
  <c r="Q33" i="31" s="1"/>
  <c r="E36" i="30"/>
  <c r="F31" i="31"/>
  <c r="G31" i="31" s="1"/>
  <c r="H31" i="31" s="1"/>
  <c r="I31" i="31" s="1"/>
  <c r="J31" i="31" s="1"/>
  <c r="K31" i="31" s="1"/>
  <c r="L31" i="31" s="1"/>
  <c r="M31" i="31" s="1"/>
  <c r="N31" i="31" s="1"/>
  <c r="O31" i="31" s="1"/>
  <c r="P31" i="31" s="1"/>
  <c r="Q31" i="31" s="1"/>
  <c r="B79" i="30"/>
  <c r="E79" i="30" s="1"/>
  <c r="E84" i="30" s="1"/>
  <c r="E17" i="30"/>
  <c r="F12" i="31"/>
  <c r="E19" i="30"/>
  <c r="F14" i="31"/>
  <c r="G14" i="31" s="1"/>
  <c r="H14" i="31" s="1"/>
  <c r="I14" i="31" s="1"/>
  <c r="J14" i="31" s="1"/>
  <c r="K14" i="31" s="1"/>
  <c r="L14" i="31" s="1"/>
  <c r="M14" i="31" s="1"/>
  <c r="N14" i="31" s="1"/>
  <c r="O14" i="31" s="1"/>
  <c r="P14" i="31" s="1"/>
  <c r="Q14" i="31" s="1"/>
  <c r="E39" i="19"/>
  <c r="B13" i="16"/>
  <c r="B13" i="20" s="1"/>
  <c r="D40" i="19"/>
  <c r="D17" i="19"/>
  <c r="E24" i="21"/>
  <c r="C73" i="14"/>
  <c r="C75" i="14" s="1"/>
  <c r="E41" i="14"/>
  <c r="D41" i="12" s="1"/>
  <c r="H22" i="21"/>
  <c r="H21" i="21" s="1"/>
  <c r="H102" i="12"/>
  <c r="B73" i="1"/>
  <c r="B75" i="1" s="1"/>
  <c r="B80" i="1" s="1"/>
  <c r="B31" i="13"/>
  <c r="E31" i="13" s="1"/>
  <c r="E73" i="1"/>
  <c r="E75" i="1" s="1"/>
  <c r="E80" i="1" s="1"/>
  <c r="B60" i="29"/>
  <c r="E60" i="29" s="1"/>
  <c r="H60" i="12" s="1"/>
  <c r="E26" i="29"/>
  <c r="H11" i="21"/>
  <c r="C28" i="20"/>
  <c r="E18" i="29"/>
  <c r="H18" i="12" s="1"/>
  <c r="H10" i="21" s="1"/>
  <c r="C28" i="29"/>
  <c r="F40" i="19"/>
  <c r="F17" i="19"/>
  <c r="F24" i="21"/>
  <c r="C10" i="21"/>
  <c r="C24" i="21"/>
  <c r="G24" i="21"/>
  <c r="D24" i="21"/>
  <c r="G99" i="12"/>
  <c r="H99" i="12" s="1"/>
  <c r="G98" i="12"/>
  <c r="H98" i="12" s="1"/>
  <c r="B71" i="16"/>
  <c r="B71" i="29" s="1"/>
  <c r="E71" i="29" s="1"/>
  <c r="H71" i="12" s="1"/>
  <c r="H23" i="21" s="1"/>
  <c r="E71" i="15"/>
  <c r="E71" i="12" s="1"/>
  <c r="E23" i="21" s="1"/>
  <c r="B72" i="16"/>
  <c r="B72" i="29" s="1"/>
  <c r="E72" i="15"/>
  <c r="E72" i="12" s="1"/>
  <c r="E29" i="21" s="1"/>
  <c r="B32" i="20"/>
  <c r="E32" i="20" s="1"/>
  <c r="G32" i="12" s="1"/>
  <c r="G35" i="19"/>
  <c r="B33" i="12"/>
  <c r="B18" i="21" s="1"/>
  <c r="F56" i="17"/>
  <c r="C41" i="15"/>
  <c r="C73" i="15" s="1"/>
  <c r="C75" i="15" s="1"/>
  <c r="C80" i="15" s="1"/>
  <c r="E61" i="17"/>
  <c r="B14" i="16"/>
  <c r="B14" i="29" s="1"/>
  <c r="E14" i="29" s="1"/>
  <c r="H14" i="12" s="1"/>
  <c r="E14" i="15"/>
  <c r="E14" i="12" s="1"/>
  <c r="E14" i="21" s="1"/>
  <c r="E15" i="15"/>
  <c r="E15" i="12" s="1"/>
  <c r="E12" i="21" s="1"/>
  <c r="D40" i="12"/>
  <c r="G68" i="12"/>
  <c r="G26" i="21" s="1"/>
  <c r="E68" i="12"/>
  <c r="E26" i="21" s="1"/>
  <c r="F68" i="12"/>
  <c r="F26" i="21" s="1"/>
  <c r="E53" i="13"/>
  <c r="E11" i="21"/>
  <c r="C14" i="21"/>
  <c r="C23" i="21"/>
  <c r="D68" i="12"/>
  <c r="D26" i="21" s="1"/>
  <c r="C68" i="12"/>
  <c r="C26" i="21" s="1"/>
  <c r="C47" i="19"/>
  <c r="E54" i="13"/>
  <c r="G26" i="12"/>
  <c r="B59" i="20"/>
  <c r="E59" i="20" s="1"/>
  <c r="E26" i="12"/>
  <c r="B59" i="15"/>
  <c r="E59" i="15" s="1"/>
  <c r="F26" i="12"/>
  <c r="B59" i="16"/>
  <c r="E59" i="16" s="1"/>
  <c r="E38" i="12"/>
  <c r="E58" i="12"/>
  <c r="F36" i="12"/>
  <c r="D36" i="12"/>
  <c r="F58" i="12"/>
  <c r="F50" i="12"/>
  <c r="E50" i="12"/>
  <c r="G60" i="12"/>
  <c r="F60" i="12"/>
  <c r="E36" i="12"/>
  <c r="F38" i="12"/>
  <c r="D58" i="12"/>
  <c r="D50" i="12"/>
  <c r="D10" i="21"/>
  <c r="F10" i="21"/>
  <c r="E59" i="13"/>
  <c r="E37" i="12"/>
  <c r="D37" i="12"/>
  <c r="G18" i="12"/>
  <c r="G10" i="21" s="1"/>
  <c r="D38" i="12"/>
  <c r="C50" i="12"/>
  <c r="C22" i="21" s="1"/>
  <c r="C21" i="21" s="1"/>
  <c r="C21" i="12"/>
  <c r="E18" i="12"/>
  <c r="E10" i="21" s="1"/>
  <c r="D11" i="21"/>
  <c r="G11" i="21"/>
  <c r="E59" i="14"/>
  <c r="D60" i="12"/>
  <c r="C60" i="12"/>
  <c r="F37" i="12"/>
  <c r="G50" i="12"/>
  <c r="E40" i="12"/>
  <c r="F40" i="12"/>
  <c r="B31" i="16"/>
  <c r="F47" i="19"/>
  <c r="D47" i="19"/>
  <c r="E47" i="19"/>
  <c r="C26" i="12"/>
  <c r="E28" i="13"/>
  <c r="B85" i="12"/>
  <c r="E86" i="1"/>
  <c r="G9" i="21"/>
  <c r="E79" i="13"/>
  <c r="E84" i="13" s="1"/>
  <c r="B8" i="21"/>
  <c r="B15" i="21" s="1"/>
  <c r="B28" i="12"/>
  <c r="D26" i="12"/>
  <c r="F11" i="21"/>
  <c r="E60" i="15"/>
  <c r="E31" i="30" l="1"/>
  <c r="B53" i="30" s="1"/>
  <c r="F26" i="31"/>
  <c r="G26" i="31" s="1"/>
  <c r="E33" i="30"/>
  <c r="F28" i="31"/>
  <c r="G28" i="31" s="1"/>
  <c r="H28" i="31" s="1"/>
  <c r="I28" i="31" s="1"/>
  <c r="J28" i="31" s="1"/>
  <c r="K28" i="31" s="1"/>
  <c r="L28" i="31" s="1"/>
  <c r="M28" i="31" s="1"/>
  <c r="N28" i="31" s="1"/>
  <c r="O28" i="31" s="1"/>
  <c r="P28" i="31" s="1"/>
  <c r="Q28" i="31" s="1"/>
  <c r="G12" i="31"/>
  <c r="F23" i="31"/>
  <c r="E28" i="30"/>
  <c r="E13" i="16"/>
  <c r="F13" i="12" s="1"/>
  <c r="B41" i="15"/>
  <c r="B13" i="29"/>
  <c r="E13" i="29" s="1"/>
  <c r="H13" i="12" s="1"/>
  <c r="H14" i="21" s="1"/>
  <c r="E13" i="20"/>
  <c r="G13" i="12" s="1"/>
  <c r="B33" i="13"/>
  <c r="E33" i="13" s="1"/>
  <c r="C33" i="12" s="1"/>
  <c r="B35" i="13"/>
  <c r="E35" i="13" s="1"/>
  <c r="C35" i="12" s="1"/>
  <c r="C31" i="12"/>
  <c r="B91" i="12"/>
  <c r="B59" i="29"/>
  <c r="E59" i="29" s="1"/>
  <c r="H59" i="12" s="1"/>
  <c r="H19" i="21" s="1"/>
  <c r="H26" i="12"/>
  <c r="H7" i="21" s="1"/>
  <c r="E72" i="29"/>
  <c r="H72" i="12" s="1"/>
  <c r="B72" i="20"/>
  <c r="E72" i="20" s="1"/>
  <c r="G72" i="12" s="1"/>
  <c r="G29" i="21" s="1"/>
  <c r="C102" i="12"/>
  <c r="E102" i="12"/>
  <c r="E22" i="21"/>
  <c r="E21" i="21" s="1"/>
  <c r="D102" i="12"/>
  <c r="D22" i="21"/>
  <c r="D21" i="21" s="1"/>
  <c r="G102" i="12"/>
  <c r="G22" i="21"/>
  <c r="G21" i="21" s="1"/>
  <c r="F102" i="12"/>
  <c r="F22" i="21"/>
  <c r="F21" i="21" s="1"/>
  <c r="G37" i="19"/>
  <c r="G39" i="19"/>
  <c r="B73" i="12"/>
  <c r="B103" i="12" s="1"/>
  <c r="B94" i="12"/>
  <c r="C41" i="16"/>
  <c r="C73" i="16" s="1"/>
  <c r="C75" i="16" s="1"/>
  <c r="C80" i="16" s="1"/>
  <c r="G56" i="17"/>
  <c r="C41" i="29" s="1"/>
  <c r="C73" i="29" s="1"/>
  <c r="C75" i="29" s="1"/>
  <c r="C80" i="29" s="1"/>
  <c r="F61" i="17"/>
  <c r="B71" i="20"/>
  <c r="E71" i="20" s="1"/>
  <c r="G71" i="12" s="1"/>
  <c r="G23" i="21" s="1"/>
  <c r="E71" i="16"/>
  <c r="F71" i="12" s="1"/>
  <c r="F23" i="21" s="1"/>
  <c r="B14" i="20"/>
  <c r="E14" i="20" s="1"/>
  <c r="G14" i="12" s="1"/>
  <c r="E14" i="16"/>
  <c r="F14" i="12" s="1"/>
  <c r="B15" i="20"/>
  <c r="E15" i="20" s="1"/>
  <c r="G15" i="12" s="1"/>
  <c r="G12" i="21" s="1"/>
  <c r="E15" i="16"/>
  <c r="F15" i="12" s="1"/>
  <c r="F12" i="21" s="1"/>
  <c r="E41" i="15"/>
  <c r="E41" i="12" s="1"/>
  <c r="E72" i="16"/>
  <c r="F72" i="12" s="1"/>
  <c r="F29" i="21" s="1"/>
  <c r="B30" i="21"/>
  <c r="B31" i="21" s="1"/>
  <c r="B36" i="21" s="1"/>
  <c r="E7" i="21"/>
  <c r="F7" i="21"/>
  <c r="G7" i="21"/>
  <c r="C11" i="21"/>
  <c r="B41" i="21"/>
  <c r="C53" i="12"/>
  <c r="C54" i="12"/>
  <c r="C59" i="12"/>
  <c r="F59" i="12"/>
  <c r="F19" i="21" s="1"/>
  <c r="E59" i="12"/>
  <c r="C83" i="12"/>
  <c r="G59" i="12"/>
  <c r="G19" i="21" s="1"/>
  <c r="D59" i="12"/>
  <c r="D19" i="21" s="1"/>
  <c r="E31" i="16"/>
  <c r="B33" i="16"/>
  <c r="E31" i="15"/>
  <c r="B33" i="15"/>
  <c r="E33" i="15" s="1"/>
  <c r="B33" i="14"/>
  <c r="E31" i="14"/>
  <c r="C7" i="21"/>
  <c r="C28" i="12"/>
  <c r="E60" i="12"/>
  <c r="D7" i="21"/>
  <c r="B87" i="12"/>
  <c r="E87" i="1"/>
  <c r="C79" i="12"/>
  <c r="C35" i="21"/>
  <c r="B35" i="30" l="1"/>
  <c r="B54" i="30"/>
  <c r="F49" i="31" s="1"/>
  <c r="G49" i="31" s="1"/>
  <c r="H49" i="31" s="1"/>
  <c r="I49" i="31" s="1"/>
  <c r="J49" i="31" s="1"/>
  <c r="K49" i="31" s="1"/>
  <c r="L49" i="31" s="1"/>
  <c r="M49" i="31" s="1"/>
  <c r="N49" i="31" s="1"/>
  <c r="O49" i="31" s="1"/>
  <c r="P49" i="31" s="1"/>
  <c r="Q49" i="31" s="1"/>
  <c r="H26" i="31"/>
  <c r="B95" i="12"/>
  <c r="F30" i="31"/>
  <c r="E35" i="30"/>
  <c r="B73" i="30"/>
  <c r="B75" i="30" s="1"/>
  <c r="B80" i="30" s="1"/>
  <c r="E54" i="30"/>
  <c r="E53" i="30"/>
  <c r="F48" i="31"/>
  <c r="G48" i="31" s="1"/>
  <c r="H48" i="31" s="1"/>
  <c r="I48" i="31" s="1"/>
  <c r="J48" i="31" s="1"/>
  <c r="K48" i="31" s="1"/>
  <c r="L48" i="31" s="1"/>
  <c r="M48" i="31" s="1"/>
  <c r="N48" i="31" s="1"/>
  <c r="O48" i="31" s="1"/>
  <c r="P48" i="31" s="1"/>
  <c r="Q48" i="31" s="1"/>
  <c r="F14" i="21"/>
  <c r="H12" i="31"/>
  <c r="G23" i="31"/>
  <c r="G14" i="21"/>
  <c r="B41" i="16"/>
  <c r="E41" i="16" s="1"/>
  <c r="F41" i="12" s="1"/>
  <c r="B75" i="12"/>
  <c r="B81" i="12" s="1"/>
  <c r="E73" i="13"/>
  <c r="B73" i="13"/>
  <c r="B75" i="13" s="1"/>
  <c r="E75" i="13" s="1"/>
  <c r="E80" i="13" s="1"/>
  <c r="H29" i="21"/>
  <c r="B38" i="29"/>
  <c r="E38" i="29" s="1"/>
  <c r="H38" i="12" s="1"/>
  <c r="B40" i="29"/>
  <c r="E40" i="29" s="1"/>
  <c r="H40" i="12" s="1"/>
  <c r="B36" i="29"/>
  <c r="E36" i="29" s="1"/>
  <c r="H36" i="12" s="1"/>
  <c r="B58" i="29"/>
  <c r="E58" i="29" s="1"/>
  <c r="H58" i="12" s="1"/>
  <c r="B37" i="29"/>
  <c r="E37" i="29" s="1"/>
  <c r="H37" i="12" s="1"/>
  <c r="C15" i="21"/>
  <c r="B100" i="12"/>
  <c r="B92" i="12"/>
  <c r="E19" i="21"/>
  <c r="C20" i="21"/>
  <c r="C41" i="20"/>
  <c r="C73" i="20" s="1"/>
  <c r="C75" i="20" s="1"/>
  <c r="C80" i="20" s="1"/>
  <c r="G61" i="17"/>
  <c r="G32" i="19"/>
  <c r="B31" i="29" s="1"/>
  <c r="B40" i="20"/>
  <c r="E40" i="20" s="1"/>
  <c r="G40" i="12" s="1"/>
  <c r="G40" i="19"/>
  <c r="B36" i="20"/>
  <c r="E36" i="20" s="1"/>
  <c r="G36" i="12" s="1"/>
  <c r="B37" i="20"/>
  <c r="E37" i="20" s="1"/>
  <c r="G37" i="12" s="1"/>
  <c r="B58" i="20"/>
  <c r="E58" i="20" s="1"/>
  <c r="G58" i="12" s="1"/>
  <c r="B38" i="20"/>
  <c r="E38" i="20" s="1"/>
  <c r="G38" i="12" s="1"/>
  <c r="C91" i="12"/>
  <c r="C19" i="21"/>
  <c r="B43" i="21"/>
  <c r="C39" i="21"/>
  <c r="C73" i="12"/>
  <c r="C75" i="12" s="1"/>
  <c r="C81" i="12" s="1"/>
  <c r="C18" i="21"/>
  <c r="C94" i="12"/>
  <c r="E33" i="12"/>
  <c r="B88" i="12"/>
  <c r="E33" i="16"/>
  <c r="F31" i="12"/>
  <c r="B53" i="16"/>
  <c r="E53" i="16" s="1"/>
  <c r="B35" i="16"/>
  <c r="E35" i="16" s="1"/>
  <c r="B54" i="16"/>
  <c r="E54" i="16" s="1"/>
  <c r="B53" i="14"/>
  <c r="E53" i="14" s="1"/>
  <c r="D31" i="12"/>
  <c r="E54" i="14"/>
  <c r="B35" i="14"/>
  <c r="E35" i="14" s="1"/>
  <c r="B35" i="15"/>
  <c r="E35" i="15" s="1"/>
  <c r="E31" i="12"/>
  <c r="B54" i="15"/>
  <c r="E54" i="15" s="1"/>
  <c r="B53" i="15"/>
  <c r="E53" i="15" s="1"/>
  <c r="E33" i="14"/>
  <c r="C86" i="12"/>
  <c r="E73" i="30" l="1"/>
  <c r="E75" i="30" s="1"/>
  <c r="E80" i="30" s="1"/>
  <c r="G30" i="31"/>
  <c r="F68" i="31"/>
  <c r="F70" i="31" s="1"/>
  <c r="I26" i="31"/>
  <c r="I12" i="31"/>
  <c r="H23" i="31"/>
  <c r="B41" i="29"/>
  <c r="E41" i="29" s="1"/>
  <c r="H41" i="12" s="1"/>
  <c r="B41" i="20"/>
  <c r="E41" i="20" s="1"/>
  <c r="G41" i="12" s="1"/>
  <c r="B80" i="13"/>
  <c r="E83" i="13"/>
  <c r="B33" i="29"/>
  <c r="E33" i="29" s="1"/>
  <c r="H33" i="12" s="1"/>
  <c r="E31" i="29"/>
  <c r="H31" i="12" s="1"/>
  <c r="B31" i="20"/>
  <c r="G47" i="19"/>
  <c r="C30" i="21"/>
  <c r="C31" i="21" s="1"/>
  <c r="C36" i="21" s="1"/>
  <c r="B44" i="21"/>
  <c r="C92" i="12"/>
  <c r="C42" i="21"/>
  <c r="C100" i="12"/>
  <c r="C103" i="12"/>
  <c r="C95" i="12"/>
  <c r="E53" i="12"/>
  <c r="D35" i="12"/>
  <c r="F54" i="12"/>
  <c r="F33" i="12"/>
  <c r="E35" i="12"/>
  <c r="E18" i="21" s="1"/>
  <c r="D53" i="12"/>
  <c r="F53" i="12"/>
  <c r="E54" i="12"/>
  <c r="D54" i="12"/>
  <c r="F35" i="12"/>
  <c r="B73" i="14"/>
  <c r="B73" i="16"/>
  <c r="E73" i="16"/>
  <c r="E73" i="15"/>
  <c r="B73" i="15"/>
  <c r="D33" i="12"/>
  <c r="E73" i="14"/>
  <c r="J26" i="31" l="1"/>
  <c r="E85" i="13"/>
  <c r="E86" i="13" s="1"/>
  <c r="E82" i="30"/>
  <c r="E83" i="30" s="1"/>
  <c r="E85" i="30" s="1"/>
  <c r="E86" i="30" s="1"/>
  <c r="H30" i="31"/>
  <c r="G68" i="31"/>
  <c r="G70" i="31" s="1"/>
  <c r="J12" i="31"/>
  <c r="I23" i="31"/>
  <c r="D83" i="12"/>
  <c r="C85" i="12"/>
  <c r="C41" i="21" s="1"/>
  <c r="B35" i="29"/>
  <c r="B53" i="29"/>
  <c r="E53" i="29" s="1"/>
  <c r="H53" i="12" s="1"/>
  <c r="B54" i="29"/>
  <c r="E54" i="29" s="1"/>
  <c r="H54" i="12" s="1"/>
  <c r="E20" i="21"/>
  <c r="D20" i="21"/>
  <c r="D18" i="21"/>
  <c r="F18" i="21"/>
  <c r="F20" i="21"/>
  <c r="E31" i="20"/>
  <c r="B33" i="20"/>
  <c r="E33" i="20" s="1"/>
  <c r="G33" i="12" s="1"/>
  <c r="F91" i="12"/>
  <c r="E91" i="12"/>
  <c r="E73" i="12"/>
  <c r="E103" i="12" s="1"/>
  <c r="F73" i="12"/>
  <c r="F94" i="12"/>
  <c r="E94" i="12"/>
  <c r="D73" i="12"/>
  <c r="D91" i="12"/>
  <c r="D94" i="12"/>
  <c r="C87" i="12" l="1"/>
  <c r="C43" i="21" s="1"/>
  <c r="K26" i="31"/>
  <c r="I30" i="31"/>
  <c r="H68" i="31"/>
  <c r="H70" i="31" s="1"/>
  <c r="K12" i="31"/>
  <c r="J23" i="31"/>
  <c r="H20" i="21"/>
  <c r="E35" i="29"/>
  <c r="B73" i="29"/>
  <c r="B54" i="20"/>
  <c r="E54" i="20" s="1"/>
  <c r="G54" i="12" s="1"/>
  <c r="B53" i="20"/>
  <c r="E53" i="20" s="1"/>
  <c r="G53" i="12" s="1"/>
  <c r="G31" i="12"/>
  <c r="B35" i="20"/>
  <c r="E35" i="20" s="1"/>
  <c r="G35" i="12" s="1"/>
  <c r="D39" i="21"/>
  <c r="C88" i="12"/>
  <c r="F30" i="21"/>
  <c r="E30" i="21"/>
  <c r="F92" i="12"/>
  <c r="D30" i="21"/>
  <c r="E92" i="12"/>
  <c r="F100" i="12"/>
  <c r="E95" i="12"/>
  <c r="F103" i="12"/>
  <c r="E100" i="12"/>
  <c r="F95" i="12"/>
  <c r="D95" i="12"/>
  <c r="D103" i="12"/>
  <c r="D100" i="12"/>
  <c r="D92" i="12"/>
  <c r="G20" i="21" l="1"/>
  <c r="J30" i="31"/>
  <c r="I68" i="31"/>
  <c r="I70" i="31" s="1"/>
  <c r="L26" i="31"/>
  <c r="L12" i="31"/>
  <c r="K23" i="31"/>
  <c r="E73" i="29"/>
  <c r="H35" i="12"/>
  <c r="H18" i="21" s="1"/>
  <c r="G18" i="21"/>
  <c r="G94" i="12"/>
  <c r="G91" i="12"/>
  <c r="G73" i="12"/>
  <c r="B73" i="20"/>
  <c r="E73" i="20"/>
  <c r="C44" i="21"/>
  <c r="E11" i="14"/>
  <c r="B28" i="14"/>
  <c r="B79" i="14" s="1"/>
  <c r="G30" i="21" l="1"/>
  <c r="M26" i="31"/>
  <c r="K30" i="31"/>
  <c r="J68" i="31"/>
  <c r="J70" i="31" s="1"/>
  <c r="M12" i="31"/>
  <c r="L23" i="31"/>
  <c r="H91" i="12"/>
  <c r="H30" i="21"/>
  <c r="H73" i="12"/>
  <c r="H94" i="12"/>
  <c r="B75" i="14"/>
  <c r="G95" i="12"/>
  <c r="G103" i="12"/>
  <c r="G100" i="12"/>
  <c r="G92" i="12"/>
  <c r="D11" i="12"/>
  <c r="E28" i="14"/>
  <c r="E75" i="14" s="1"/>
  <c r="L30" i="31" l="1"/>
  <c r="K68" i="31"/>
  <c r="K70" i="31" s="1"/>
  <c r="N26" i="31"/>
  <c r="N12" i="31"/>
  <c r="M23" i="31"/>
  <c r="H95" i="12"/>
  <c r="H103" i="12"/>
  <c r="H100" i="12"/>
  <c r="H92" i="12"/>
  <c r="D28" i="12"/>
  <c r="D75" i="12" s="1"/>
  <c r="D13" i="21"/>
  <c r="D15" i="21" s="1"/>
  <c r="D31" i="21" s="1"/>
  <c r="E83" i="14"/>
  <c r="E79" i="14"/>
  <c r="E80" i="14" s="1"/>
  <c r="B80" i="14"/>
  <c r="O26" i="31" l="1"/>
  <c r="M30" i="31"/>
  <c r="L68" i="31"/>
  <c r="L70" i="31" s="1"/>
  <c r="O12" i="31"/>
  <c r="N23" i="31"/>
  <c r="D79" i="12"/>
  <c r="D81" i="12" s="1"/>
  <c r="D35" i="21"/>
  <c r="D36" i="21" s="1"/>
  <c r="E84" i="14"/>
  <c r="E86" i="14" s="1"/>
  <c r="D85" i="12"/>
  <c r="E82" i="15"/>
  <c r="N30" i="31" l="1"/>
  <c r="M68" i="31"/>
  <c r="M70" i="31" s="1"/>
  <c r="P26" i="31"/>
  <c r="P12" i="31"/>
  <c r="O23" i="31"/>
  <c r="E11" i="15"/>
  <c r="E87" i="14"/>
  <c r="D41" i="21"/>
  <c r="E83" i="12"/>
  <c r="D86" i="12"/>
  <c r="O30" i="31" l="1"/>
  <c r="N68" i="31"/>
  <c r="N70" i="31" s="1"/>
  <c r="Q26" i="31"/>
  <c r="Q12" i="31"/>
  <c r="Q23" i="31" s="1"/>
  <c r="P23" i="31"/>
  <c r="B28" i="15"/>
  <c r="B79" i="15" s="1"/>
  <c r="D87" i="12"/>
  <c r="D43" i="21" s="1"/>
  <c r="D42" i="21"/>
  <c r="E39" i="21"/>
  <c r="E11" i="12"/>
  <c r="E28" i="15"/>
  <c r="E75" i="15" s="1"/>
  <c r="D88" i="12"/>
  <c r="P30" i="31" l="1"/>
  <c r="O68" i="31"/>
  <c r="O70" i="31" s="1"/>
  <c r="B75" i="15"/>
  <c r="B80" i="15" s="1"/>
  <c r="D44" i="21"/>
  <c r="E79" i="15"/>
  <c r="E13" i="21"/>
  <c r="E15" i="21" s="1"/>
  <c r="E31" i="21" s="1"/>
  <c r="E28" i="12"/>
  <c r="E75" i="12" s="1"/>
  <c r="E83" i="15"/>
  <c r="Q30" i="31" l="1"/>
  <c r="Q68" i="31" s="1"/>
  <c r="Q70" i="31" s="1"/>
  <c r="P68" i="31"/>
  <c r="P70" i="31" s="1"/>
  <c r="E80" i="15"/>
  <c r="E85" i="12"/>
  <c r="E82" i="16"/>
  <c r="E79" i="12"/>
  <c r="E81" i="12" s="1"/>
  <c r="E84" i="15"/>
  <c r="E35" i="21"/>
  <c r="E36" i="21" s="1"/>
  <c r="E41" i="21" l="1"/>
  <c r="E86" i="12"/>
  <c r="B11" i="16"/>
  <c r="F83" i="12"/>
  <c r="E85" i="15"/>
  <c r="E42" i="21" l="1"/>
  <c r="F39" i="21"/>
  <c r="E86" i="15"/>
  <c r="E87" i="12"/>
  <c r="E11" i="16"/>
  <c r="B28" i="16"/>
  <c r="B79" i="16" s="1"/>
  <c r="E43" i="21" l="1"/>
  <c r="B75" i="16"/>
  <c r="E79" i="16"/>
  <c r="E88" i="12"/>
  <c r="E44" i="21" s="1"/>
  <c r="F11" i="12"/>
  <c r="E28" i="16"/>
  <c r="E75" i="16" s="1"/>
  <c r="B80" i="16" l="1"/>
  <c r="F35" i="21"/>
  <c r="F79" i="12"/>
  <c r="E84" i="16"/>
  <c r="F13" i="21"/>
  <c r="F15" i="21" s="1"/>
  <c r="F31" i="21" s="1"/>
  <c r="F28" i="12"/>
  <c r="F75" i="12" s="1"/>
  <c r="E80" i="16"/>
  <c r="E83" i="16"/>
  <c r="F36" i="21" l="1"/>
  <c r="F81" i="12"/>
  <c r="E82" i="20"/>
  <c r="F85" i="12"/>
  <c r="E85" i="16"/>
  <c r="F86" i="12"/>
  <c r="F42" i="21" l="1"/>
  <c r="F41" i="21"/>
  <c r="E86" i="16"/>
  <c r="F87" i="12"/>
  <c r="B11" i="20"/>
  <c r="G83" i="12"/>
  <c r="G39" i="21" l="1"/>
  <c r="F43" i="21"/>
  <c r="F88" i="12"/>
  <c r="E11" i="20"/>
  <c r="B28" i="20"/>
  <c r="B79" i="20" s="1"/>
  <c r="F44" i="21" l="1"/>
  <c r="G11" i="12"/>
  <c r="E28" i="20"/>
  <c r="E75" i="20" s="1"/>
  <c r="B75" i="20"/>
  <c r="E79" i="20"/>
  <c r="G13" i="21" l="1"/>
  <c r="G15" i="21" s="1"/>
  <c r="G31" i="21" s="1"/>
  <c r="G28" i="12"/>
  <c r="G75" i="12" s="1"/>
  <c r="E80" i="20"/>
  <c r="E83" i="20"/>
  <c r="E82" i="29" s="1"/>
  <c r="G79" i="12"/>
  <c r="G35" i="21"/>
  <c r="E84" i="20"/>
  <c r="B80" i="20"/>
  <c r="B11" i="29" l="1"/>
  <c r="E11" i="29" s="1"/>
  <c r="H83" i="12"/>
  <c r="H39" i="21" s="1"/>
  <c r="G36" i="21"/>
  <c r="G81" i="12"/>
  <c r="G86" i="12"/>
  <c r="G85" i="12"/>
  <c r="E85" i="20"/>
  <c r="B28" i="29" l="1"/>
  <c r="E28" i="29"/>
  <c r="E75" i="29" s="1"/>
  <c r="E83" i="29" s="1"/>
  <c r="H85" i="12" s="1"/>
  <c r="H41" i="21" s="1"/>
  <c r="H11" i="12"/>
  <c r="G41" i="21"/>
  <c r="G42" i="21"/>
  <c r="G87" i="12"/>
  <c r="E86" i="20"/>
  <c r="B79" i="29" l="1"/>
  <c r="E79" i="29" s="1"/>
  <c r="B75" i="29"/>
  <c r="H13" i="21"/>
  <c r="H15" i="21" s="1"/>
  <c r="H31" i="21" s="1"/>
  <c r="H28" i="12"/>
  <c r="H75" i="12" s="1"/>
  <c r="G43" i="21"/>
  <c r="G88" i="12"/>
  <c r="E84" i="29" l="1"/>
  <c r="H79" i="12"/>
  <c r="H81" i="12" s="1"/>
  <c r="H35" i="21"/>
  <c r="H36" i="21" s="1"/>
  <c r="E80" i="29"/>
  <c r="B80" i="29"/>
  <c r="G44" i="21"/>
  <c r="H86" i="12" l="1"/>
  <c r="H42" i="21" s="1"/>
  <c r="E85" i="29"/>
  <c r="H87" i="12" l="1"/>
  <c r="H43" i="21" s="1"/>
  <c r="E86" i="29"/>
  <c r="H88" i="12" s="1"/>
  <c r="H44" i="21" s="1"/>
</calcChain>
</file>

<file path=xl/comments1.xml><?xml version="1.0" encoding="utf-8"?>
<comments xmlns="http://schemas.openxmlformats.org/spreadsheetml/2006/main">
  <authors>
    <author>Lori Deacon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Lori Deacon:</t>
        </r>
        <r>
          <rPr>
            <sz val="9"/>
            <color indexed="81"/>
            <rFont val="Tahoma"/>
            <family val="2"/>
          </rPr>
          <t xml:space="preserve">
implemented during yr0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Lori Deacon:</t>
        </r>
        <r>
          <rPr>
            <sz val="9"/>
            <color indexed="81"/>
            <rFont val="Tahoma"/>
            <family val="2"/>
          </rPr>
          <t xml:space="preserve">
implemented during yr1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Lori Deacon:</t>
        </r>
        <r>
          <rPr>
            <sz val="9"/>
            <color indexed="81"/>
            <rFont val="Tahoma"/>
            <family val="2"/>
          </rPr>
          <t xml:space="preserve">
implemented during yr2, maybe yr3</t>
        </r>
      </text>
    </comment>
  </commentList>
</comments>
</file>

<file path=xl/sharedStrings.xml><?xml version="1.0" encoding="utf-8"?>
<sst xmlns="http://schemas.openxmlformats.org/spreadsheetml/2006/main" count="1326" uniqueCount="466">
  <si>
    <t>1000 · Foundation revenue</t>
  </si>
  <si>
    <t>1510 · Interest on investments</t>
  </si>
  <si>
    <t>1700 · Pupil activities</t>
  </si>
  <si>
    <t>1740 · Fees</t>
  </si>
  <si>
    <t>1920 · Contributions and donations</t>
  </si>
  <si>
    <t>3113 · Capital construction</t>
  </si>
  <si>
    <t>0120 · Salaries of temporary employees</t>
  </si>
  <si>
    <t>0221 · Medicare</t>
  </si>
  <si>
    <t>0222 · Social security</t>
  </si>
  <si>
    <t>0250 · Health insurance</t>
  </si>
  <si>
    <t>0251 · Dental insurance</t>
  </si>
  <si>
    <t>0290 · Other Employee Benefits</t>
  </si>
  <si>
    <t>0320 · Professional-education services</t>
  </si>
  <si>
    <t>0331 · Legal services</t>
  </si>
  <si>
    <t>0332 · Audit &amp; accounting services</t>
  </si>
  <si>
    <t>0334 · Consultant services</t>
  </si>
  <si>
    <t>0340 · Technical services</t>
  </si>
  <si>
    <t>0423 · Custodial services</t>
  </si>
  <si>
    <t>0430 · Repairs and maintenance service</t>
  </si>
  <si>
    <t>0441 · Rental of land and buildings</t>
  </si>
  <si>
    <t>0442 · Rental of Equipment</t>
  </si>
  <si>
    <t>0525 · Unemployment insurance</t>
  </si>
  <si>
    <t>0526 · Workers' Comp insurance</t>
  </si>
  <si>
    <t>0531 · Telephone/fax</t>
  </si>
  <si>
    <t>0533 · Postage</t>
  </si>
  <si>
    <t>0580 · Travel, registration, entrance</t>
  </si>
  <si>
    <t>0610 · General supplies</t>
  </si>
  <si>
    <t>0611 · Office supplies</t>
  </si>
  <si>
    <t>0640 · Books and periodicals</t>
  </si>
  <si>
    <t>0650 · Electronic media materials</t>
  </si>
  <si>
    <t>0733 · Furniture and fixtures</t>
  </si>
  <si>
    <t>0735 · Non-capital equipment</t>
  </si>
  <si>
    <t>0810 · Dues and fees</t>
  </si>
  <si>
    <t>0851 · Transportation/field trips</t>
  </si>
  <si>
    <t>0890 · Miscellaneous expenditures</t>
  </si>
  <si>
    <t>TOTAL</t>
  </si>
  <si>
    <t>Medicare</t>
  </si>
  <si>
    <t>REVENUE</t>
  </si>
  <si>
    <t>TOTAL REVENUE</t>
  </si>
  <si>
    <t>EXPENSE</t>
  </si>
  <si>
    <t>TOTAL EXPENSE</t>
  </si>
  <si>
    <t>0630 · Food &amp; meeting expenses</t>
  </si>
  <si>
    <t>0540 · Advertising, Marketing &amp; Recruiting</t>
  </si>
  <si>
    <t>0840 · Contingency</t>
  </si>
  <si>
    <t>General Operating</t>
  </si>
  <si>
    <t>SURPLUS/(SHORTFALL)</t>
  </si>
  <si>
    <t>YEAR 1</t>
  </si>
  <si>
    <t>YEAR 2</t>
  </si>
  <si>
    <t>YEAR 3</t>
  </si>
  <si>
    <t>YEAR 4</t>
  </si>
  <si>
    <t>YEAR 0</t>
  </si>
  <si>
    <t>ASSUMPTIONS</t>
  </si>
  <si>
    <t>AVG Annual Salary</t>
  </si>
  <si>
    <t>ADMIN &amp; SUPPORT</t>
  </si>
  <si>
    <t>Total # Teachers</t>
  </si>
  <si>
    <t>Total # Admin &amp; Support</t>
  </si>
  <si>
    <t>Total Staff</t>
  </si>
  <si>
    <t>Student/teacher ratio</t>
  </si>
  <si>
    <t>Student/staff ratio</t>
  </si>
  <si>
    <t>Funded Pupil Count</t>
  </si>
  <si>
    <t>YEAR 5</t>
  </si>
  <si>
    <t>Per Pupil Revenue</t>
  </si>
  <si>
    <t>State Funding  Sources</t>
  </si>
  <si>
    <t>Grants/Contributions/Fundraising</t>
  </si>
  <si>
    <t>Interest Income</t>
  </si>
  <si>
    <t>Activities &amp; Student Fees</t>
  </si>
  <si>
    <t>Salaries and Benefits</t>
  </si>
  <si>
    <t>Purchased Services (w/o Bldg Costs)</t>
  </si>
  <si>
    <t>Utilities &amp; Building Expenses</t>
  </si>
  <si>
    <t>Rental - Land/Building</t>
  </si>
  <si>
    <t>Supplies and Materials</t>
  </si>
  <si>
    <t>Books, Periodicals, &amp; Software</t>
  </si>
  <si>
    <t>Furniture &amp; Equipment</t>
  </si>
  <si>
    <t>Insurance Expenses</t>
  </si>
  <si>
    <t>Contingency</t>
  </si>
  <si>
    <t>Other Expenditures</t>
  </si>
  <si>
    <t xml:space="preserve"> </t>
  </si>
  <si>
    <t>NOTES</t>
  </si>
  <si>
    <t>TOTAL SALARIES</t>
  </si>
  <si>
    <t xml:space="preserve">     Total Admin &amp; Support</t>
  </si>
  <si>
    <t>K</t>
  </si>
  <si>
    <t>Total # students</t>
  </si>
  <si>
    <t>NET OPERATING INCOME</t>
  </si>
  <si>
    <t>OTHER SOURCES/USES OF FUNDS</t>
  </si>
  <si>
    <t xml:space="preserve">     Tabor Reserve</t>
  </si>
  <si>
    <t>6 YEAR BUDGET-Detail</t>
  </si>
  <si>
    <t>6 YEAR BUDGET-Summary</t>
  </si>
  <si>
    <t>Federal Funding  Sources</t>
  </si>
  <si>
    <t>Student Activities</t>
  </si>
  <si>
    <t>Physical Pupil Count</t>
  </si>
  <si>
    <t>0120 · Salaries of temporary employees-subs</t>
  </si>
  <si>
    <t>increase/yr</t>
  </si>
  <si>
    <t>N/A</t>
  </si>
  <si>
    <t>0100 · Salaries of Regular Employees</t>
  </si>
  <si>
    <t>`</t>
  </si>
  <si>
    <t>Beginning Fund Balance</t>
  </si>
  <si>
    <t>Ending Fund Balance</t>
  </si>
  <si>
    <t>Restricted</t>
  </si>
  <si>
    <t>Unrestricted</t>
  </si>
  <si>
    <t>Unrestricted Fund Balance as % of Total Expenses</t>
  </si>
  <si>
    <t>Unrestricted Fund Bal as % of Total Expenses</t>
  </si>
  <si>
    <t>Unrestricted FB as % of Total Exp's</t>
  </si>
  <si>
    <t>Projected FRL %</t>
  </si>
  <si>
    <t>Social Security</t>
  </si>
  <si>
    <t>INDIVIDUAL EXPENSE DRIVERS</t>
  </si>
  <si>
    <t>$/unit</t>
  </si>
  <si>
    <t>Other Employee benefits</t>
  </si>
  <si>
    <t>annual</t>
  </si>
  <si>
    <t>Temp employees (substitutes)</t>
  </si>
  <si>
    <t>per absence</t>
  </si>
  <si>
    <t xml:space="preserve">    # days personal days per employee</t>
  </si>
  <si>
    <t>Banking &amp; Payroll fees</t>
  </si>
  <si>
    <t>employee</t>
  </si>
  <si>
    <t>Health plan cost</t>
  </si>
  <si>
    <t>Dental plan cost</t>
  </si>
  <si>
    <t>Postage</t>
  </si>
  <si>
    <t>student</t>
  </si>
  <si>
    <t>unit</t>
  </si>
  <si>
    <t>Assessments</t>
  </si>
  <si>
    <t>0313 · Banking &amp; Payroll Service Fees</t>
  </si>
  <si>
    <t>annual/per EE</t>
  </si>
  <si>
    <t>Food &amp; Meeting supplies</t>
  </si>
  <si>
    <t>Office supplies</t>
  </si>
  <si>
    <t>General supplies</t>
  </si>
  <si>
    <t>Advertising/Marketing/Recruiting</t>
  </si>
  <si>
    <t>Rental of building or land</t>
  </si>
  <si>
    <t>Kindergarten half-day tuition (annual)</t>
  </si>
  <si>
    <t>Dues and fees</t>
  </si>
  <si>
    <t>Transportation/Field Trips</t>
  </si>
  <si>
    <t>ENROLLMENT PLAN</t>
  </si>
  <si>
    <t>STAFFING PLAN</t>
  </si>
  <si>
    <t>5710 · Per pupil funding (100%)</t>
  </si>
  <si>
    <r>
      <t xml:space="preserve"> </t>
    </r>
    <r>
      <rPr>
        <sz val="8"/>
        <color indexed="30"/>
        <rFont val="Calibri"/>
        <family val="2"/>
      </rPr>
      <t xml:space="preserve"> blue font = hard keyed</t>
    </r>
    <r>
      <rPr>
        <sz val="8"/>
        <color indexed="8"/>
        <rFont val="Calibri"/>
        <family val="2"/>
      </rPr>
      <t>, black font = formula driven</t>
    </r>
  </si>
  <si>
    <t>Grant Fund</t>
  </si>
  <si>
    <t>6 YEAR BUDGET PROPOSAL</t>
  </si>
  <si>
    <t>STIPENDS/ADDITIONAL PAY</t>
  </si>
  <si>
    <t>Tabor Reserve (added to prior yr reserves)</t>
  </si>
  <si>
    <t>Note: may be overstated for multi-yr due to turnover/changes</t>
  </si>
  <si>
    <t>DATE</t>
  </si>
  <si>
    <t>PERA-based on calendar yr</t>
  </si>
  <si>
    <t>Travel/Reg/Entrance (Prof Dev for staff)</t>
  </si>
  <si>
    <t>Professional Ed Services</t>
  </si>
  <si>
    <t>Salary - Office Manager (3 months)</t>
  </si>
  <si>
    <t>Salary - Ex. Director (3 months)</t>
  </si>
  <si>
    <t>Benefits - Ex. Director (3 months)</t>
  </si>
  <si>
    <t>Benefits - Office Manager (3 months)</t>
  </si>
  <si>
    <t>IT services (establishing infrastructure)</t>
  </si>
  <si>
    <t>Financial Consultant (establishing financial systems)</t>
  </si>
  <si>
    <t>Balance of funds</t>
  </si>
  <si>
    <t>Marketing/Advertising - student &amp; staff recruitment (ads+events)</t>
  </si>
  <si>
    <t>ECE</t>
  </si>
  <si>
    <t>Professional Development</t>
  </si>
  <si>
    <t>Staff furniture</t>
  </si>
  <si>
    <t>Student furniture</t>
  </si>
  <si>
    <t>Bookshelves + Tables</t>
  </si>
  <si>
    <t>Staff laptops</t>
  </si>
  <si>
    <t>Student laptops</t>
  </si>
  <si>
    <t>Server + network peripherals</t>
  </si>
  <si>
    <t>Curriculum</t>
  </si>
  <si>
    <t>Legal Services</t>
  </si>
  <si>
    <t>Projected ELL %</t>
  </si>
  <si>
    <t>Total # funded*</t>
  </si>
  <si>
    <t>*does not include ECE</t>
  </si>
  <si>
    <t>Total Instructional Expenses</t>
  </si>
  <si>
    <t xml:space="preserve">   % of Total Expenses</t>
  </si>
  <si>
    <t>Total Non-Instructional Expenses</t>
  </si>
  <si>
    <t>Salary %</t>
  </si>
  <si>
    <t>Total variances</t>
  </si>
  <si>
    <t>Total Instructional</t>
  </si>
  <si>
    <t>Total Admin</t>
  </si>
  <si>
    <t>ECE tuition (annual)</t>
  </si>
  <si>
    <t>ECE Revenue</t>
  </si>
  <si>
    <t>Facility Costs</t>
  </si>
  <si>
    <t>% of Total Expenses</t>
  </si>
  <si>
    <t>Tabor Reserve (cumulative over years)</t>
  </si>
  <si>
    <t>OTHER SOURCES/(USES) OF FUNDS</t>
  </si>
  <si>
    <t>CDE START-UP GRANT</t>
  </si>
  <si>
    <t>Sample Expenditures</t>
  </si>
  <si>
    <t>Notes:  Enter position title, # of positions, average salary</t>
  </si>
  <si>
    <t>4010 · Title I</t>
  </si>
  <si>
    <t>4365 · Title III</t>
  </si>
  <si>
    <t>5282 · Charter school grant</t>
  </si>
  <si>
    <t>5810 · ECE funding</t>
  </si>
  <si>
    <t>Per pupil amount</t>
  </si>
  <si>
    <t>Total funding (not per pupil)</t>
  </si>
  <si>
    <t>Projected Number of Students Per Year</t>
  </si>
  <si>
    <r>
      <t xml:space="preserve"> </t>
    </r>
    <r>
      <rPr>
        <sz val="8"/>
        <color indexed="30"/>
        <rFont val="Calibri"/>
        <family val="2"/>
      </rPr>
      <t xml:space="preserve"> </t>
    </r>
    <r>
      <rPr>
        <sz val="8"/>
        <color indexed="30"/>
        <rFont val="Calibri"/>
        <family val="2"/>
      </rPr>
      <t>blue font = hard keyed</t>
    </r>
    <r>
      <rPr>
        <sz val="8"/>
        <color indexed="8"/>
        <rFont val="Calibri"/>
        <family val="2"/>
      </rPr>
      <t>, black font = formula driven</t>
    </r>
  </si>
  <si>
    <t>Board-Designated Fund Balance</t>
  </si>
  <si>
    <t>3150 · Gifted &amp; Talented</t>
  </si>
  <si>
    <t>0230 · PERA expense</t>
  </si>
  <si>
    <t>0300A · Other Services - Assessments</t>
  </si>
  <si>
    <t>0721 · Leasehold improvements</t>
  </si>
  <si>
    <t>0595B · CDE Admin expense</t>
  </si>
  <si>
    <t>0595A · CSI Admin expense</t>
  </si>
  <si>
    <t>0300 · Prof services-food svcs</t>
  </si>
  <si>
    <t>1600 · Food service revenue</t>
  </si>
  <si>
    <t>3161 · State child nutrition reimb</t>
  </si>
  <si>
    <t>4555 · Fed lunch reimb</t>
  </si>
  <si>
    <t>CSI Admin expense</t>
  </si>
  <si>
    <t>CDE Admin expense</t>
  </si>
  <si>
    <t>State Unemployment</t>
  </si>
  <si>
    <t>Assumes filing w/DOL as political subdivision (100% of wages)</t>
  </si>
  <si>
    <t>Authorizer Services</t>
  </si>
  <si>
    <t>Equipment rentals - postal machine</t>
  </si>
  <si>
    <t>Equipment rentals - copier</t>
  </si>
  <si>
    <t>Annual tuition</t>
  </si>
  <si>
    <t>AUTHORIZER:  Charter School Institute</t>
  </si>
  <si>
    <t>INSTRUCTIONAL STAFF</t>
  </si>
  <si>
    <t xml:space="preserve">     Total Instructional Staff</t>
  </si>
  <si>
    <t>1300B · Kindergarten revenue</t>
  </si>
  <si>
    <t>1300A · ECE revenue</t>
  </si>
  <si>
    <t>0410 · Utility expenses</t>
  </si>
  <si>
    <t>0410 · Utility services</t>
  </si>
  <si>
    <t>Variance</t>
  </si>
  <si>
    <t xml:space="preserve">   Projected LEP ELL%</t>
  </si>
  <si>
    <t xml:space="preserve">   Projected NEP ELL%</t>
  </si>
  <si>
    <t>Fill in blank cells with additional revenue and expenditures.</t>
  </si>
  <si>
    <r>
      <t xml:space="preserve">On </t>
    </r>
    <r>
      <rPr>
        <sz val="12"/>
        <color indexed="53"/>
        <rFont val="Calibri"/>
        <family val="2"/>
      </rPr>
      <t>Page 4-Year 0 through Page 9-Year 5</t>
    </r>
    <r>
      <rPr>
        <sz val="12"/>
        <rFont val="Calibri"/>
        <family val="2"/>
      </rPr>
      <t>, many cells will be automatically populated from the inputs on Pages 1-3.</t>
    </r>
  </si>
  <si>
    <t>Fill in cells B30 through B47 with the dollar amount per unit listed in column C.</t>
  </si>
  <si>
    <r>
      <t xml:space="preserve">On </t>
    </r>
    <r>
      <rPr>
        <sz val="12"/>
        <color indexed="53"/>
        <rFont val="Calibri"/>
        <family val="2"/>
      </rPr>
      <t>Page 3-Assumptions</t>
    </r>
    <r>
      <rPr>
        <sz val="12"/>
        <rFont val="Calibri"/>
        <family val="2"/>
      </rPr>
      <t>, fill in cells C5 through G17 and cells B21 through G26 according to the notes in column H.</t>
    </r>
  </si>
  <si>
    <t>Information on the Staffing Plan page is totaled on Pages 4-9.</t>
  </si>
  <si>
    <t>Student to teacher and student to staff ratios are calculated automatically at the bottom of the Staffing Plan page.</t>
  </si>
  <si>
    <t>In cell I32, enter the cost of living/annual compensation percentage increase assumption.</t>
  </si>
  <si>
    <t>Enter the corresponding average position salary in column I.</t>
  </si>
  <si>
    <t>Enter the corresponding FTE for years 0-5 in columns B through G.</t>
  </si>
  <si>
    <r>
      <t xml:space="preserve">On </t>
    </r>
    <r>
      <rPr>
        <sz val="12"/>
        <color indexed="53"/>
        <rFont val="Calibri"/>
        <family val="2"/>
      </rPr>
      <t>Page 2-Staffing Plan</t>
    </r>
    <r>
      <rPr>
        <sz val="12"/>
        <rFont val="Calibri"/>
        <family val="2"/>
      </rPr>
      <t>, enter position titles in column A under Instructional Staff and Admin &amp; Support.</t>
    </r>
  </si>
  <si>
    <t>Total number of students and total number of funded students will populate automatically.</t>
  </si>
  <si>
    <r>
      <t xml:space="preserve">On </t>
    </r>
    <r>
      <rPr>
        <sz val="12"/>
        <color indexed="53"/>
        <rFont val="Calibri"/>
        <family val="2"/>
      </rPr>
      <t>Page 1-Enrollment Plan</t>
    </r>
    <r>
      <rPr>
        <sz val="12"/>
        <rFont val="Calibri"/>
        <family val="2"/>
      </rPr>
      <t xml:space="preserve">, fill in cells B6:F19 will the applicant's estimated enrollment in years 1-5. </t>
    </r>
  </si>
  <si>
    <r>
      <t xml:space="preserve">On the </t>
    </r>
    <r>
      <rPr>
        <sz val="12"/>
        <color indexed="53"/>
        <rFont val="Calibri"/>
        <family val="2"/>
      </rPr>
      <t>COVER PAGE</t>
    </r>
    <r>
      <rPr>
        <sz val="12"/>
        <rFont val="Calibri"/>
        <family val="2"/>
      </rPr>
      <t>, fill in the cells that include blue text including the applicant's logo, proposed school name, and the developer(s).</t>
    </r>
  </si>
  <si>
    <t>Instructions</t>
  </si>
  <si>
    <t>3130 · ECEA</t>
  </si>
  <si>
    <t>4027 · IDEA</t>
  </si>
  <si>
    <t>3130 · Exceptional Children's Ed Act (ECEA)</t>
  </si>
  <si>
    <t>4027 · Special Ed (IDEA)</t>
  </si>
  <si>
    <t>3140 · English language proficiency act (ELPA)</t>
  </si>
  <si>
    <r>
      <t xml:space="preserve">List outside services beginning on row 53. </t>
    </r>
    <r>
      <rPr>
        <sz val="12"/>
        <color indexed="23"/>
        <rFont val="Calibri"/>
        <family val="2"/>
      </rPr>
      <t>Note that these costs are not automatically linked to Pages 4-9.</t>
    </r>
  </si>
  <si>
    <t>Use column A to list expenditures (the expenditures listed are examples only).</t>
  </si>
  <si>
    <t>Use columns B through D to list corresponding dollars amounts for grant Years 1 though 3 (operating Years 0 through 2).</t>
  </si>
  <si>
    <r>
      <t xml:space="preserve">Link individual Charter School Program grant revenue and expenditure cells to </t>
    </r>
    <r>
      <rPr>
        <sz val="12"/>
        <color indexed="53"/>
        <rFont val="Calibri"/>
        <family val="2"/>
      </rPr>
      <t xml:space="preserve">Page 4-Year 0 through Page 9-Year 5 </t>
    </r>
    <r>
      <rPr>
        <sz val="12"/>
        <rFont val="Calibri"/>
        <family val="2"/>
      </rPr>
      <t>or manually input revenue and expenditures on these pages.</t>
    </r>
  </si>
  <si>
    <r>
      <rPr>
        <sz val="12"/>
        <color indexed="53"/>
        <rFont val="Calibri"/>
        <family val="2"/>
      </rPr>
      <t>Page 10-6 yr Budget-detail</t>
    </r>
    <r>
      <rPr>
        <sz val="12"/>
        <rFont val="Calibri"/>
        <family val="2"/>
      </rPr>
      <t xml:space="preserve"> and </t>
    </r>
    <r>
      <rPr>
        <sz val="12"/>
        <color indexed="53"/>
        <rFont val="Calibri"/>
        <family val="2"/>
      </rPr>
      <t>Page 11-6 yr Budget Summary</t>
    </r>
    <r>
      <rPr>
        <sz val="12"/>
        <rFont val="Calibri"/>
        <family val="2"/>
      </rPr>
      <t xml:space="preserve"> will populate automatically.</t>
    </r>
  </si>
  <si>
    <t>These worksheets are locked and cannot be modified.</t>
  </si>
  <si>
    <t>Carefully review the entire workbook to ensure accuracy and completeness.</t>
  </si>
  <si>
    <t>Enter Stipends/Additional Pay information as needed. For example, 5 stipends (FTE columns) @ $5,000 (column I)</t>
  </si>
  <si>
    <t>Grant Fund CDE CSP</t>
  </si>
  <si>
    <t xml:space="preserve">NOTES: </t>
  </si>
  <si>
    <t>All cells with blue text should be populated. All cells with black text are formula drive and populate automatically.</t>
  </si>
  <si>
    <t>All revenues and expenditures are listed with CDE Chart of Accounts source/object codes. For a full list of account codes and descriptions please see http://www.cde.state.co.us/cdefinance/sfcoa.</t>
  </si>
  <si>
    <t>Be sure to include expenditures associated with other grant and foundation revenue in column C.</t>
  </si>
  <si>
    <t>Add notes and additional assumptions to column F.</t>
  </si>
  <si>
    <t>3140 · English Language Proficiency Act (ELPA)</t>
  </si>
  <si>
    <r>
      <t xml:space="preserve">If you plan to apply for the Charter School Program grant please use </t>
    </r>
    <r>
      <rPr>
        <sz val="12"/>
        <color indexed="53"/>
        <rFont val="Calibri"/>
        <family val="2"/>
      </rPr>
      <t>Support-CDE start-up grant worksheet</t>
    </r>
    <r>
      <rPr>
        <sz val="12"/>
        <rFont val="Calibri"/>
        <family val="2"/>
      </rPr>
      <t xml:space="preserve"> to plan grant spending.</t>
    </r>
  </si>
  <si>
    <t>Notes</t>
  </si>
  <si>
    <t>see past year funding information here: http://www.cde.state.co.us/cdefinance/sfdetails</t>
  </si>
  <si>
    <t>Recommendations</t>
  </si>
  <si>
    <t>Insurance</t>
  </si>
  <si>
    <t>0520 · Insurance</t>
  </si>
  <si>
    <t xml:space="preserve">Minimum insurance requirements are as follows: Comprehensive general liability - $2,000,000; Officers, directors and employees errors and omissions - $1,000,000; Property - as required by landlord; </t>
  </si>
  <si>
    <t>Motor vehicle liability (if applicable) - $1,000,000; Worker's compensation - as required by law.</t>
  </si>
  <si>
    <t>Total funding (not per pupil); NOT ELIGIBLE IN YEAR 1</t>
  </si>
  <si>
    <t>$275.97 - Funding pupil</t>
  </si>
  <si>
    <t>$1,279 - Eligible SPED student</t>
  </si>
  <si>
    <t>$134.02 NEP/LEP - $102.70 FEP</t>
  </si>
  <si>
    <t>$259.20 - Eligible FRL pupil</t>
  </si>
  <si>
    <t>$500 + $150.00 - Eligible pupil</t>
  </si>
  <si>
    <t>$1,671 - Eligible SPED student</t>
  </si>
  <si>
    <t>$55.91 NEP/LEP - $42.84 FEP</t>
  </si>
  <si>
    <t xml:space="preserve">The budget should balance in all years and reflect an understanding of specific statutory requirements including: 
a. separation of the general operating funds and grant funds 
b. Public Employees’ Retirement Association (PERA) contributions 
c. 3% TABOR reserve (Colorado Constitution Article X, Section 20) 
</t>
  </si>
  <si>
    <t>Ginger</t>
  </si>
  <si>
    <t>use $240 if we are at 35% or greater</t>
  </si>
  <si>
    <t>Colorado Military Academy</t>
  </si>
  <si>
    <t>Kindergarten</t>
  </si>
  <si>
    <t>Secondary Teachers</t>
  </si>
  <si>
    <t>Special Ed Teacher</t>
  </si>
  <si>
    <t>Technology Manager</t>
  </si>
  <si>
    <t>Custodian (day time)</t>
  </si>
  <si>
    <t>Commandant</t>
  </si>
  <si>
    <t>Military Liaison (provided by AFB)</t>
  </si>
  <si>
    <t>Office Mgr-Registrar-Fin.Secretary</t>
  </si>
  <si>
    <t>Bonuses &amp; Stipends &amp; Hiring Bonuses</t>
  </si>
  <si>
    <t>Assumed only 1% will qualify (expect more)</t>
  </si>
  <si>
    <t>Discussions with</t>
  </si>
  <si>
    <t>Small donations and fundraisers</t>
  </si>
  <si>
    <t>Before/After School Care Staff</t>
  </si>
  <si>
    <t>1st - 5th Grade</t>
  </si>
  <si>
    <t>K-5 Elective Teachers</t>
  </si>
  <si>
    <t>Exec Director, Dir Finance, Principals</t>
  </si>
  <si>
    <t>Classroom &amp; Spec. Ed. Para's</t>
  </si>
  <si>
    <t>Acad. Dir., Spec. Ed. Coord., Counselors</t>
  </si>
  <si>
    <t>Athletic &amp; Activities Director</t>
  </si>
  <si>
    <t>Speech Lang; OPT; Psychologist; Nurse (shared)</t>
  </si>
  <si>
    <t>SIS - Power School</t>
  </si>
  <si>
    <t>Training (other than Pearson &amp; Creative Learning)</t>
  </si>
  <si>
    <t>$300x10 mo's for 50% of Kindergartners less 20% scholarships</t>
  </si>
  <si>
    <t>See schedule (busing, after care, reg. fees, rent, etc.)</t>
  </si>
  <si>
    <t>$2,250/month allowing for extra time in Year 1; increased by enrollment thereafter</t>
  </si>
  <si>
    <t>early hires - see Staffing Plan</t>
  </si>
  <si>
    <t>Utilities on temporary Enrollment Center</t>
  </si>
  <si>
    <t>Rent on temporary Enrollment Center</t>
  </si>
  <si>
    <t>Allowance for curriculum costs covered in facility funding</t>
  </si>
  <si>
    <t>Allowance for FF&amp;E costs covered in facility funding</t>
  </si>
  <si>
    <t>2 computers and printer</t>
  </si>
  <si>
    <t>Colorado League of Charter Schools Conference</t>
  </si>
  <si>
    <t>ELL Teacher</t>
  </si>
  <si>
    <t>Admin &amp; Support Staff Plan</t>
  </si>
  <si>
    <t>FTE</t>
  </si>
  <si>
    <t>Year 0</t>
  </si>
  <si>
    <t>Year 1</t>
  </si>
  <si>
    <t>Year 2</t>
  </si>
  <si>
    <t>Year 3</t>
  </si>
  <si>
    <t>Year 4</t>
  </si>
  <si>
    <t>Year 5</t>
  </si>
  <si>
    <t>Executive Director</t>
  </si>
  <si>
    <t>Dir. Finance &amp; Operations</t>
  </si>
  <si>
    <t>Principal-HS (Sr. Principal)</t>
  </si>
  <si>
    <t>Principal-ES</t>
  </si>
  <si>
    <t>Dean of Students</t>
  </si>
  <si>
    <t>Subtotal</t>
  </si>
  <si>
    <t>Academic &amp; Student Svcs Director</t>
  </si>
  <si>
    <t>Special Ed Coordinator</t>
  </si>
  <si>
    <t>Counselor</t>
  </si>
  <si>
    <t>Athletic Director</t>
  </si>
  <si>
    <t>Office Manager</t>
  </si>
  <si>
    <t>10 month employee</t>
  </si>
  <si>
    <t>Registrar</t>
  </si>
  <si>
    <t>12 month employee</t>
  </si>
  <si>
    <t>Financial Secretary-Data Entry</t>
  </si>
  <si>
    <t>9 month employee</t>
  </si>
  <si>
    <t>Office Support Staff</t>
  </si>
  <si>
    <t>Classroom Para's - 1 per elementary teacher</t>
  </si>
  <si>
    <t>200 day employees (includes PD days)</t>
  </si>
  <si>
    <t>one 12-month and one 9-month employee</t>
  </si>
  <si>
    <t>Total</t>
  </si>
  <si>
    <t>Attachment A to Budget</t>
  </si>
  <si>
    <t>Military &amp; Family Life Coord. (provided by military)</t>
  </si>
  <si>
    <t>Year 1 Total</t>
  </si>
  <si>
    <t>Fee</t>
  </si>
  <si>
    <t># of students</t>
  </si>
  <si>
    <t>Time period</t>
  </si>
  <si>
    <t>Student Activity Fees</t>
  </si>
  <si>
    <t>Sports &amp; Extracurricular Activities Fees</t>
  </si>
  <si>
    <t>3 seasons</t>
  </si>
  <si>
    <t>Fees</t>
  </si>
  <si>
    <t>Student Fees</t>
  </si>
  <si>
    <t>Busing Fee Income</t>
  </si>
  <si>
    <t>monthly</t>
  </si>
  <si>
    <t>Before/After Care Fees - see detail below</t>
  </si>
  <si>
    <t>Student Fees (Tech, books, registration, etc.)</t>
  </si>
  <si>
    <t>Annual</t>
  </si>
  <si>
    <t>Civil Air Patrol (optional program grades 6+)</t>
  </si>
  <si>
    <t>Other Income (with no separate line on budget form)</t>
  </si>
  <si>
    <t>Transportation Reimbursement (State)</t>
  </si>
  <si>
    <t>Rent income - Satellite Towers</t>
  </si>
  <si>
    <t>Rent Income - evening and weekend groups</t>
  </si>
  <si>
    <t>Before and After School Care Program (detail for entry above)</t>
  </si>
  <si>
    <t>Before School Care</t>
  </si>
  <si>
    <t>After School Care</t>
  </si>
  <si>
    <t>Combined Before/After Care</t>
  </si>
  <si>
    <t>Sports &amp; Extracurricular Fees</t>
  </si>
  <si>
    <t>Attachment B to Budget</t>
  </si>
  <si>
    <t>Allowance for scholarships for low income families</t>
  </si>
  <si>
    <t>n/a</t>
  </si>
  <si>
    <t>Use $250 to be conserv.</t>
  </si>
  <si>
    <t>Use $1,100 to be conserv</t>
  </si>
  <si>
    <t>Use $7,119.34</t>
  </si>
  <si>
    <t>0 in year 1; used $85 thereafter to be conserv</t>
  </si>
  <si>
    <t>Assumed only 1% of students qualify</t>
  </si>
  <si>
    <t>Used lower % than expect (conserv)</t>
  </si>
  <si>
    <t>Assumed only $1,500 and 10% of enrollment</t>
  </si>
  <si>
    <t>Federal Impact Aid - zero in year 1 (CSI may qualify with our enrollment for future years)</t>
  </si>
  <si>
    <t>$3600 per year plus 2% per year; employee pays 50%</t>
  </si>
  <si>
    <t>$240 per year; employee pays 50%</t>
  </si>
  <si>
    <t>$108 for vision; $83 for life &amp; disab; employee pays 50%</t>
  </si>
  <si>
    <t>Pearson Curriculum</t>
  </si>
  <si>
    <t>Format</t>
  </si>
  <si>
    <t>Grade Level</t>
  </si>
  <si>
    <t># of classes/ teachers</t>
  </si>
  <si>
    <t>Cost per student</t>
  </si>
  <si>
    <t>Cost per class/ teacher</t>
  </si>
  <si>
    <t>Total Cost Year 1</t>
  </si>
  <si>
    <t>Ave Cost per pupil</t>
  </si>
  <si>
    <t>English Language Arts</t>
  </si>
  <si>
    <t>ReadyGEN  ELA</t>
  </si>
  <si>
    <t>48 titles (paper) + resources</t>
  </si>
  <si>
    <t>15 titles per grade level + digital</t>
  </si>
  <si>
    <t>1 to 5</t>
  </si>
  <si>
    <t>My Perspectives ELA</t>
  </si>
  <si>
    <t>Consumables + digital</t>
  </si>
  <si>
    <t>6 to 12</t>
  </si>
  <si>
    <t>Math</t>
  </si>
  <si>
    <t>enVision Math</t>
  </si>
  <si>
    <t>Print + 6-year digital license</t>
  </si>
  <si>
    <t>K to 5</t>
  </si>
  <si>
    <t>6 to 8</t>
  </si>
  <si>
    <t>6-year digital license</t>
  </si>
  <si>
    <t>Alg I, II &amp; Geometry</t>
  </si>
  <si>
    <t>Science</t>
  </si>
  <si>
    <t>Interactive Science 2016</t>
  </si>
  <si>
    <t>Books + 6-year digital licenses</t>
  </si>
  <si>
    <t>Miller Levine Biology</t>
  </si>
  <si>
    <t>High School</t>
  </si>
  <si>
    <t>History-Social Studies</t>
  </si>
  <si>
    <t>MY World Social Studies 2013</t>
  </si>
  <si>
    <t>Books and 6-year online licenses</t>
  </si>
  <si>
    <t>K to 1</t>
  </si>
  <si>
    <t>2 to 5</t>
  </si>
  <si>
    <t>6 &amp; 7</t>
  </si>
  <si>
    <t>American History 2016</t>
  </si>
  <si>
    <t>Economics 2016 &amp; Magruders Government 2016</t>
  </si>
  <si>
    <t>9 to 12</t>
  </si>
  <si>
    <t>Electives &amp; Cross-Curricular</t>
  </si>
  <si>
    <t>Interactive Music 2016 Silver Burdette</t>
  </si>
  <si>
    <t>Songbooks + 6-year digital license</t>
  </si>
  <si>
    <t xml:space="preserve"> K to 9</t>
  </si>
  <si>
    <t>Art</t>
  </si>
  <si>
    <t>Digital Art Software</t>
  </si>
  <si>
    <t>Autentico ( Spanish)</t>
  </si>
  <si>
    <t>Levels 1-3</t>
  </si>
  <si>
    <t>Health - Prentice Hall Health 2014</t>
  </si>
  <si>
    <t>Books</t>
  </si>
  <si>
    <t>Career, Tech &amp; Business Courses</t>
  </si>
  <si>
    <t>Pearson online courses - average</t>
  </si>
  <si>
    <t>Creative Learning Systems</t>
  </si>
  <si>
    <t>STEM &amp; PBL Lab, Resources &amp; PD</t>
  </si>
  <si>
    <t>K to 9</t>
  </si>
  <si>
    <t>Attachment C to Budget</t>
  </si>
  <si>
    <t>Curriculum Cost Schedule</t>
  </si>
  <si>
    <t>Net Cost reflected in Year 1 Operating Budget</t>
  </si>
  <si>
    <t>Less amount funded in Year 0 through facility funding</t>
  </si>
  <si>
    <t>$624 per new student (books and 6 -year licenses)</t>
  </si>
  <si>
    <t>Increased proportionately to enrollment increase</t>
  </si>
  <si>
    <t>assumes 2% interest earned on beginning balance only</t>
  </si>
  <si>
    <t>increased by 10%</t>
  </si>
  <si>
    <t>increased by 75% to reflect 2/3 of second floor being added</t>
  </si>
  <si>
    <t>Increased proportionately for increase in enrollment and staff</t>
  </si>
  <si>
    <t>increased to allow for additional classrooms</t>
  </si>
  <si>
    <t>Increased proportionately for increase in enrollment</t>
  </si>
  <si>
    <t>Increased proportionately for increase in enrollment plus 20%</t>
  </si>
  <si>
    <t>Para's for Spec Ed, Reading and other assignments</t>
  </si>
  <si>
    <t>See Facility Funding doc: $200,000 + $300,000 + $100,000</t>
  </si>
  <si>
    <t>technical support services</t>
  </si>
  <si>
    <t>phone and internet at temporary Enrollment Center</t>
  </si>
  <si>
    <t>Website, design, and May and June promotion costs</t>
  </si>
  <si>
    <t>Reimburse startup costs already incurred by SLA</t>
  </si>
  <si>
    <t>Fee Income Breakdown</t>
  </si>
  <si>
    <t>1800 - MLE</t>
  </si>
  <si>
    <t>1000 · CSI Emergency Loan</t>
  </si>
  <si>
    <t>YEAR 6</t>
  </si>
  <si>
    <t>Year 6</t>
  </si>
  <si>
    <t>Nursing Services and M Hyatt oversight</t>
  </si>
  <si>
    <t>Sped Services and assessments</t>
  </si>
  <si>
    <t>Includes reserve amount</t>
  </si>
  <si>
    <t>inceased by 50% to reflect full 12 months and faster service</t>
  </si>
  <si>
    <t>Increased for BASE, Fee change, other programs</t>
  </si>
  <si>
    <t>1400 - Rentals</t>
  </si>
  <si>
    <t>Tabor Reserve</t>
  </si>
  <si>
    <t>Rental Income</t>
  </si>
  <si>
    <t>1400 - Rental Revenue</t>
  </si>
  <si>
    <t xml:space="preserve">Audit </t>
  </si>
  <si>
    <t>16 Month Projection</t>
  </si>
  <si>
    <t>2019-2020</t>
  </si>
  <si>
    <t>SPED Reserve (CSI Required)</t>
  </si>
  <si>
    <t>4555 · Impact Aid</t>
  </si>
  <si>
    <t>At Risk Supplemental aid</t>
  </si>
  <si>
    <t>Unassigned</t>
  </si>
  <si>
    <t>Nursing Services and M Hyatt oversight and Matt Throckmorton</t>
  </si>
  <si>
    <t>Brian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</si>
</sst>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 d\,\ yyyy;@"/>
    <numFmt numFmtId="169" formatCode="_(* #,##0.0_);_(* \(#,##0.0\);_(* &quot;-&quot;??_);_(@_)"/>
    <numFmt numFmtId="170" formatCode="&quot;$&quot;#,##0"/>
  </numFmts>
  <fonts count="7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</font>
    <font>
      <sz val="8"/>
      <color indexed="30"/>
      <name val="Calibri"/>
      <family val="2"/>
    </font>
    <font>
      <sz val="10"/>
      <color indexed="17"/>
      <name val="Calibri"/>
      <family val="2"/>
    </font>
    <font>
      <sz val="10"/>
      <color indexed="3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u/>
      <sz val="18"/>
      <name val="Calibri"/>
      <family val="2"/>
    </font>
    <font>
      <sz val="22"/>
      <name val="Calibri"/>
      <family val="2"/>
    </font>
    <font>
      <sz val="18"/>
      <name val="Calibri"/>
      <family val="2"/>
    </font>
    <font>
      <sz val="8"/>
      <name val="Arial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2"/>
      <color indexed="53"/>
      <name val="Calibri"/>
      <family val="2"/>
    </font>
    <font>
      <sz val="12"/>
      <color indexed="23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i/>
      <sz val="10"/>
      <color rgb="FF0070C0"/>
      <name val="Calibri"/>
      <family val="2"/>
    </font>
    <font>
      <sz val="10"/>
      <color theme="9"/>
      <name val="Calibri"/>
      <family val="2"/>
    </font>
    <font>
      <sz val="10"/>
      <color rgb="FF00B050"/>
      <name val="Calibri"/>
      <family val="2"/>
    </font>
    <font>
      <sz val="12"/>
      <color rgb="FF0070C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</font>
    <font>
      <sz val="10"/>
      <color rgb="FF7030A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36"/>
      <color rgb="FF0070C0"/>
      <name val="Calibri"/>
      <family val="2"/>
    </font>
    <font>
      <i/>
      <sz val="14"/>
      <color rgb="FF0070C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1">
      <alignment horizontal="left"/>
    </xf>
    <xf numFmtId="0" fontId="2" fillId="20" borderId="2">
      <alignment horizontal="left"/>
    </xf>
    <xf numFmtId="0" fontId="2" fillId="20" borderId="3">
      <alignment horizontal="left"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6" fillId="0" borderId="1">
      <alignment horizontal="left"/>
    </xf>
    <xf numFmtId="2" fontId="2" fillId="0" borderId="0" applyFill="0" applyProtection="0"/>
    <xf numFmtId="0" fontId="6" fillId="20" borderId="4">
      <alignment horizontal="left"/>
    </xf>
    <xf numFmtId="0" fontId="6" fillId="20" borderId="5">
      <alignment horizontal="left"/>
    </xf>
    <xf numFmtId="49" fontId="2" fillId="0" borderId="6" applyFont="0" applyFill="0" applyBorder="0" applyAlignment="0" applyProtection="0">
      <alignment horizontal="right"/>
    </xf>
    <xf numFmtId="0" fontId="2" fillId="0" borderId="0">
      <alignment horizontal="left"/>
    </xf>
    <xf numFmtId="0" fontId="6" fillId="20" borderId="7">
      <alignment horizontal="left"/>
    </xf>
    <xf numFmtId="0" fontId="2" fillId="0" borderId="1">
      <alignment horizontal="left"/>
    </xf>
    <xf numFmtId="0" fontId="6" fillId="20" borderId="8">
      <alignment horizontal="left"/>
    </xf>
    <xf numFmtId="0" fontId="6" fillId="20" borderId="9">
      <alignment horizontal="left"/>
    </xf>
    <xf numFmtId="0" fontId="6" fillId="20" borderId="10">
      <alignment horizontal="left"/>
    </xf>
    <xf numFmtId="0" fontId="2" fillId="0" borderId="6">
      <alignment horizontal="right"/>
    </xf>
    <xf numFmtId="0" fontId="7" fillId="3" borderId="0" applyNumberFormat="0" applyBorder="0" applyAlignment="0" applyProtection="0"/>
    <xf numFmtId="0" fontId="8" fillId="21" borderId="11" applyNumberFormat="0" applyAlignment="0" applyProtection="0"/>
    <xf numFmtId="0" fontId="9" fillId="22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1" applyNumberFormat="0" applyAlignment="0" applyProtection="0"/>
    <xf numFmtId="0" fontId="16" fillId="0" borderId="16" applyNumberFormat="0" applyFill="0" applyAlignment="0" applyProtection="0"/>
    <xf numFmtId="0" fontId="17" fillId="23" borderId="0" applyNumberFormat="0" applyBorder="0" applyAlignment="0" applyProtection="0"/>
    <xf numFmtId="0" fontId="39" fillId="0" borderId="0"/>
    <xf numFmtId="0" fontId="1" fillId="24" borderId="17" applyNumberFormat="0" applyFont="0" applyAlignment="0" applyProtection="0"/>
    <xf numFmtId="0" fontId="18" fillId="21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</cellStyleXfs>
  <cellXfs count="394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5" fontId="22" fillId="20" borderId="20" xfId="0" applyNumberFormat="1" applyFont="1" applyFill="1" applyBorder="1" applyAlignment="1">
      <alignment horizontal="center" vertical="center" wrapText="1"/>
    </xf>
    <xf numFmtId="41" fontId="22" fillId="20" borderId="21" xfId="0" applyNumberFormat="1" applyFont="1" applyFill="1" applyBorder="1"/>
    <xf numFmtId="5" fontId="22" fillId="20" borderId="2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5" xfId="0" applyFont="1" applyBorder="1"/>
    <xf numFmtId="0" fontId="22" fillId="0" borderId="22" xfId="0" applyFont="1" applyBorder="1"/>
    <xf numFmtId="37" fontId="22" fillId="20" borderId="2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25" borderId="20" xfId="0" applyFont="1" applyFill="1" applyBorder="1" applyAlignment="1">
      <alignment horizontal="center"/>
    </xf>
    <xf numFmtId="0" fontId="22" fillId="25" borderId="20" xfId="0" applyFont="1" applyFill="1" applyBorder="1"/>
    <xf numFmtId="0" fontId="22" fillId="25" borderId="0" xfId="0" applyFont="1" applyFill="1"/>
    <xf numFmtId="0" fontId="22" fillId="25" borderId="23" xfId="0" applyFont="1" applyFill="1" applyBorder="1"/>
    <xf numFmtId="0" fontId="26" fillId="25" borderId="24" xfId="0" applyFont="1" applyFill="1" applyBorder="1"/>
    <xf numFmtId="0" fontId="23" fillId="25" borderId="25" xfId="0" applyFont="1" applyFill="1" applyBorder="1" applyAlignment="1">
      <alignment horizontal="left"/>
    </xf>
    <xf numFmtId="0" fontId="28" fillId="25" borderId="25" xfId="0" applyFont="1" applyFill="1" applyBorder="1" applyAlignment="1">
      <alignment horizontal="right"/>
    </xf>
    <xf numFmtId="5" fontId="22" fillId="25" borderId="21" xfId="0" applyNumberFormat="1" applyFont="1" applyFill="1" applyBorder="1" applyAlignment="1">
      <alignment horizontal="center" vertical="center" wrapText="1"/>
    </xf>
    <xf numFmtId="42" fontId="22" fillId="25" borderId="21" xfId="0" applyNumberFormat="1" applyFont="1" applyFill="1" applyBorder="1"/>
    <xf numFmtId="41" fontId="22" fillId="25" borderId="21" xfId="0" applyNumberFormat="1" applyFont="1" applyFill="1" applyBorder="1"/>
    <xf numFmtId="41" fontId="22" fillId="25" borderId="26" xfId="0" applyNumberFormat="1" applyFont="1" applyFill="1" applyBorder="1"/>
    <xf numFmtId="42" fontId="22" fillId="25" borderId="27" xfId="0" applyNumberFormat="1" applyFont="1" applyFill="1" applyBorder="1"/>
    <xf numFmtId="41" fontId="22" fillId="25" borderId="28" xfId="0" applyNumberFormat="1" applyFont="1" applyFill="1" applyBorder="1"/>
    <xf numFmtId="0" fontId="22" fillId="25" borderId="25" xfId="0" applyFont="1" applyFill="1" applyBorder="1"/>
    <xf numFmtId="0" fontId="26" fillId="25" borderId="25" xfId="0" applyFont="1" applyFill="1" applyBorder="1"/>
    <xf numFmtId="0" fontId="22" fillId="26" borderId="29" xfId="0" applyFont="1" applyFill="1" applyBorder="1" applyAlignment="1">
      <alignment horizontal="left" indent="1"/>
    </xf>
    <xf numFmtId="42" fontId="22" fillId="25" borderId="28" xfId="0" applyNumberFormat="1" applyFont="1" applyFill="1" applyBorder="1"/>
    <xf numFmtId="0" fontId="22" fillId="25" borderId="29" xfId="0" applyFont="1" applyFill="1" applyBorder="1" applyAlignment="1">
      <alignment horizontal="left" indent="1"/>
    </xf>
    <xf numFmtId="42" fontId="22" fillId="25" borderId="30" xfId="0" applyNumberFormat="1" applyFont="1" applyFill="1" applyBorder="1"/>
    <xf numFmtId="0" fontId="22" fillId="25" borderId="29" xfId="0" applyFont="1" applyFill="1" applyBorder="1"/>
    <xf numFmtId="0" fontId="23" fillId="25" borderId="29" xfId="0" applyFont="1" applyFill="1" applyBorder="1"/>
    <xf numFmtId="0" fontId="23" fillId="25" borderId="0" xfId="0" applyFont="1" applyFill="1"/>
    <xf numFmtId="3" fontId="22" fillId="25" borderId="0" xfId="0" applyNumberFormat="1" applyFont="1" applyFill="1"/>
    <xf numFmtId="5" fontId="22" fillId="25" borderId="0" xfId="0" applyNumberFormat="1" applyFont="1" applyFill="1"/>
    <xf numFmtId="5" fontId="23" fillId="25" borderId="0" xfId="0" applyNumberFormat="1" applyFont="1" applyFill="1"/>
    <xf numFmtId="164" fontId="22" fillId="25" borderId="0" xfId="0" applyNumberFormat="1" applyFont="1" applyFill="1" applyAlignment="1">
      <alignment horizontal="center"/>
    </xf>
    <xf numFmtId="42" fontId="22" fillId="0" borderId="0" xfId="0" applyNumberFormat="1" applyFont="1"/>
    <xf numFmtId="0" fontId="26" fillId="25" borderId="24" xfId="0" applyFont="1" applyFill="1" applyBorder="1" applyProtection="1">
      <protection locked="0"/>
    </xf>
    <xf numFmtId="0" fontId="29" fillId="25" borderId="25" xfId="0" applyFont="1" applyFill="1" applyBorder="1" applyAlignment="1">
      <alignment horizontal="left"/>
    </xf>
    <xf numFmtId="5" fontId="27" fillId="20" borderId="2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37" fontId="27" fillId="20" borderId="20" xfId="0" applyNumberFormat="1" applyFont="1" applyFill="1" applyBorder="1" applyAlignment="1">
      <alignment horizontal="center" vertical="center" wrapText="1"/>
    </xf>
    <xf numFmtId="5" fontId="27" fillId="25" borderId="21" xfId="0" applyNumberFormat="1" applyFont="1" applyFill="1" applyBorder="1" applyAlignment="1">
      <alignment horizontal="center" vertical="center" wrapText="1"/>
    </xf>
    <xf numFmtId="5" fontId="27" fillId="25" borderId="31" xfId="0" applyNumberFormat="1" applyFont="1" applyFill="1" applyBorder="1" applyAlignment="1">
      <alignment horizontal="center" vertical="center" wrapText="1"/>
    </xf>
    <xf numFmtId="0" fontId="31" fillId="25" borderId="25" xfId="0" applyFont="1" applyFill="1" applyBorder="1" applyAlignment="1">
      <alignment horizontal="left" indent="1"/>
    </xf>
    <xf numFmtId="42" fontId="27" fillId="25" borderId="21" xfId="0" applyNumberFormat="1" applyFont="1" applyFill="1" applyBorder="1"/>
    <xf numFmtId="0" fontId="27" fillId="0" borderId="0" xfId="0" applyFont="1"/>
    <xf numFmtId="41" fontId="27" fillId="25" borderId="21" xfId="0" applyNumberFormat="1" applyFont="1" applyFill="1" applyBorder="1"/>
    <xf numFmtId="41" fontId="27" fillId="25" borderId="26" xfId="0" applyNumberFormat="1" applyFont="1" applyFill="1" applyBorder="1"/>
    <xf numFmtId="0" fontId="32" fillId="25" borderId="25" xfId="0" applyFont="1" applyFill="1" applyBorder="1"/>
    <xf numFmtId="0" fontId="31" fillId="25" borderId="25" xfId="0" applyFont="1" applyFill="1" applyBorder="1"/>
    <xf numFmtId="166" fontId="27" fillId="25" borderId="21" xfId="49" applyNumberFormat="1" applyFont="1" applyFill="1" applyBorder="1"/>
    <xf numFmtId="42" fontId="27" fillId="25" borderId="27" xfId="0" applyNumberFormat="1" applyFont="1" applyFill="1" applyBorder="1"/>
    <xf numFmtId="0" fontId="27" fillId="25" borderId="25" xfId="0" applyFont="1" applyFill="1" applyBorder="1"/>
    <xf numFmtId="0" fontId="29" fillId="25" borderId="25" xfId="0" applyFont="1" applyFill="1" applyBorder="1"/>
    <xf numFmtId="41" fontId="27" fillId="25" borderId="28" xfId="0" applyNumberFormat="1" applyFont="1" applyFill="1" applyBorder="1"/>
    <xf numFmtId="42" fontId="27" fillId="25" borderId="32" xfId="0" applyNumberFormat="1" applyFont="1" applyFill="1" applyBorder="1"/>
    <xf numFmtId="165" fontId="22" fillId="20" borderId="20" xfId="0" applyNumberFormat="1" applyFont="1" applyFill="1" applyBorder="1" applyAlignment="1">
      <alignment horizontal="center" vertical="center" wrapText="1"/>
    </xf>
    <xf numFmtId="164" fontId="22" fillId="20" borderId="20" xfId="0" applyNumberFormat="1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right"/>
    </xf>
    <xf numFmtId="1" fontId="22" fillId="20" borderId="20" xfId="0" applyNumberFormat="1" applyFont="1" applyFill="1" applyBorder="1" applyAlignment="1">
      <alignment horizontal="center" vertical="center" wrapText="1"/>
    </xf>
    <xf numFmtId="0" fontId="23" fillId="25" borderId="9" xfId="0" applyFont="1" applyFill="1" applyBorder="1" applyAlignment="1">
      <alignment horizontal="center"/>
    </xf>
    <xf numFmtId="0" fontId="22" fillId="25" borderId="10" xfId="0" applyFont="1" applyFill="1" applyBorder="1"/>
    <xf numFmtId="0" fontId="23" fillId="25" borderId="33" xfId="0" applyFont="1" applyFill="1" applyBorder="1" applyAlignment="1">
      <alignment horizontal="center"/>
    </xf>
    <xf numFmtId="0" fontId="22" fillId="25" borderId="28" xfId="0" applyFont="1" applyFill="1" applyBorder="1"/>
    <xf numFmtId="0" fontId="23" fillId="25" borderId="33" xfId="0" applyFont="1" applyFill="1" applyBorder="1" applyAlignment="1">
      <alignment horizontal="left"/>
    </xf>
    <xf numFmtId="0" fontId="22" fillId="25" borderId="1" xfId="0" applyFont="1" applyFill="1" applyBorder="1"/>
    <xf numFmtId="0" fontId="22" fillId="25" borderId="3" xfId="0" applyFont="1" applyFill="1" applyBorder="1"/>
    <xf numFmtId="0" fontId="22" fillId="25" borderId="25" xfId="0" applyFont="1" applyFill="1" applyBorder="1" applyAlignment="1">
      <alignment horizontal="left" indent="1"/>
    </xf>
    <xf numFmtId="5" fontId="22" fillId="0" borderId="0" xfId="0" applyNumberFormat="1" applyFont="1"/>
    <xf numFmtId="41" fontId="22" fillId="20" borderId="20" xfId="0" applyNumberFormat="1" applyFont="1" applyFill="1" applyBorder="1"/>
    <xf numFmtId="41" fontId="22" fillId="0" borderId="0" xfId="0" applyNumberFormat="1" applyFont="1"/>
    <xf numFmtId="41" fontId="22" fillId="20" borderId="34" xfId="0" applyNumberFormat="1" applyFont="1" applyFill="1" applyBorder="1"/>
    <xf numFmtId="41" fontId="22" fillId="25" borderId="0" xfId="0" applyNumberFormat="1" applyFont="1" applyFill="1"/>
    <xf numFmtId="43" fontId="22" fillId="0" borderId="0" xfId="0" applyNumberFormat="1" applyFont="1"/>
    <xf numFmtId="0" fontId="22" fillId="0" borderId="35" xfId="0" applyFont="1" applyBorder="1" applyAlignment="1">
      <alignment horizontal="left"/>
    </xf>
    <xf numFmtId="42" fontId="22" fillId="25" borderId="0" xfId="0" applyNumberFormat="1" applyFont="1" applyFill="1"/>
    <xf numFmtId="9" fontId="22" fillId="25" borderId="36" xfId="65" applyFont="1" applyFill="1" applyBorder="1" applyAlignment="1">
      <alignment horizontal="center"/>
    </xf>
    <xf numFmtId="42" fontId="35" fillId="25" borderId="0" xfId="0" applyNumberFormat="1" applyFont="1" applyFill="1"/>
    <xf numFmtId="42" fontId="22" fillId="20" borderId="32" xfId="0" applyNumberFormat="1" applyFont="1" applyFill="1" applyBorder="1"/>
    <xf numFmtId="0" fontId="37" fillId="0" borderId="0" xfId="0" applyFont="1"/>
    <xf numFmtId="0" fontId="37" fillId="0" borderId="0" xfId="0" applyFont="1" applyAlignment="1">
      <alignment horizontal="left"/>
    </xf>
    <xf numFmtId="166" fontId="22" fillId="0" borderId="0" xfId="0" applyNumberFormat="1" applyFont="1"/>
    <xf numFmtId="1" fontId="22" fillId="25" borderId="0" xfId="0" applyNumberFormat="1" applyFont="1" applyFill="1"/>
    <xf numFmtId="2" fontId="22" fillId="25" borderId="37" xfId="0" applyNumberFormat="1" applyFont="1" applyFill="1" applyBorder="1" applyAlignment="1">
      <alignment horizontal="center"/>
    </xf>
    <xf numFmtId="2" fontId="22" fillId="25" borderId="34" xfId="0" applyNumberFormat="1" applyFont="1" applyFill="1" applyBorder="1" applyAlignment="1">
      <alignment horizontal="center"/>
    </xf>
    <xf numFmtId="41" fontId="22" fillId="25" borderId="33" xfId="0" applyNumberFormat="1" applyFont="1" applyFill="1" applyBorder="1"/>
    <xf numFmtId="41" fontId="22" fillId="25" borderId="21" xfId="0" applyNumberFormat="1" applyFont="1" applyFill="1" applyBorder="1" applyProtection="1">
      <protection locked="0"/>
    </xf>
    <xf numFmtId="41" fontId="22" fillId="25" borderId="20" xfId="0" applyNumberFormat="1" applyFont="1" applyFill="1" applyBorder="1" applyProtection="1">
      <protection locked="0"/>
    </xf>
    <xf numFmtId="41" fontId="22" fillId="25" borderId="34" xfId="0" applyNumberFormat="1" applyFont="1" applyFill="1" applyBorder="1" applyProtection="1">
      <protection locked="0"/>
    </xf>
    <xf numFmtId="0" fontId="26" fillId="0" borderId="0" xfId="0" applyFont="1"/>
    <xf numFmtId="0" fontId="22" fillId="0" borderId="0" xfId="0" applyFont="1" applyProtection="1">
      <protection locked="0"/>
    </xf>
    <xf numFmtId="0" fontId="22" fillId="0" borderId="20" xfId="62" applyFont="1" applyBorder="1" applyAlignment="1" applyProtection="1">
      <alignment horizontal="center"/>
      <protection locked="0"/>
    </xf>
    <xf numFmtId="0" fontId="22" fillId="0" borderId="0" xfId="62" applyFont="1" applyProtection="1">
      <protection locked="0"/>
    </xf>
    <xf numFmtId="0" fontId="22" fillId="0" borderId="20" xfId="0" applyFont="1" applyBorder="1" applyAlignment="1">
      <alignment vertical="center"/>
    </xf>
    <xf numFmtId="0" fontId="22" fillId="0" borderId="20" xfId="0" applyFont="1" applyBorder="1"/>
    <xf numFmtId="0" fontId="23" fillId="0" borderId="20" xfId="62" applyFont="1" applyBorder="1"/>
    <xf numFmtId="0" fontId="26" fillId="25" borderId="9" xfId="0" applyFont="1" applyFill="1" applyBorder="1"/>
    <xf numFmtId="0" fontId="22" fillId="25" borderId="8" xfId="0" applyFont="1" applyFill="1" applyBorder="1"/>
    <xf numFmtId="5" fontId="26" fillId="25" borderId="33" xfId="0" applyNumberFormat="1" applyFont="1" applyFill="1" applyBorder="1"/>
    <xf numFmtId="0" fontId="22" fillId="25" borderId="33" xfId="0" applyFont="1" applyFill="1" applyBorder="1" applyAlignment="1">
      <alignment horizontal="center"/>
    </xf>
    <xf numFmtId="0" fontId="28" fillId="25" borderId="33" xfId="0" applyFont="1" applyFill="1" applyBorder="1" applyAlignment="1">
      <alignment horizontal="right"/>
    </xf>
    <xf numFmtId="0" fontId="24" fillId="25" borderId="33" xfId="0" applyFont="1" applyFill="1" applyBorder="1" applyAlignment="1">
      <alignment horizontal="left" wrapText="1"/>
    </xf>
    <xf numFmtId="0" fontId="22" fillId="25" borderId="33" xfId="0" applyFont="1" applyFill="1" applyBorder="1" applyAlignment="1">
      <alignment horizontal="left" wrapText="1"/>
    </xf>
    <xf numFmtId="0" fontId="24" fillId="25" borderId="33" xfId="0" applyFont="1" applyFill="1" applyBorder="1" applyAlignment="1">
      <alignment wrapText="1"/>
    </xf>
    <xf numFmtId="0" fontId="25" fillId="25" borderId="33" xfId="0" applyFont="1" applyFill="1" applyBorder="1" applyAlignment="1">
      <alignment wrapText="1"/>
    </xf>
    <xf numFmtId="0" fontId="22" fillId="25" borderId="33" xfId="0" applyFont="1" applyFill="1" applyBorder="1" applyAlignment="1">
      <alignment wrapText="1"/>
    </xf>
    <xf numFmtId="0" fontId="23" fillId="25" borderId="33" xfId="0" applyFont="1" applyFill="1" applyBorder="1" applyAlignment="1">
      <alignment wrapText="1"/>
    </xf>
    <xf numFmtId="0" fontId="22" fillId="25" borderId="33" xfId="0" applyFont="1" applyFill="1" applyBorder="1"/>
    <xf numFmtId="0" fontId="22" fillId="25" borderId="33" xfId="0" applyFont="1" applyFill="1" applyBorder="1" applyAlignment="1">
      <alignment horizontal="left" indent="1"/>
    </xf>
    <xf numFmtId="0" fontId="22" fillId="0" borderId="33" xfId="0" applyFont="1" applyBorder="1" applyAlignment="1">
      <alignment horizontal="left"/>
    </xf>
    <xf numFmtId="9" fontId="22" fillId="25" borderId="28" xfId="65" applyFont="1" applyFill="1" applyBorder="1" applyAlignment="1">
      <alignment horizontal="center"/>
    </xf>
    <xf numFmtId="0" fontId="27" fillId="25" borderId="21" xfId="0" applyFont="1" applyFill="1" applyBorder="1"/>
    <xf numFmtId="0" fontId="29" fillId="25" borderId="20" xfId="0" applyFont="1" applyFill="1" applyBorder="1" applyAlignment="1">
      <alignment horizontal="center"/>
    </xf>
    <xf numFmtId="0" fontId="22" fillId="25" borderId="33" xfId="0" applyFont="1" applyFill="1" applyBorder="1" applyAlignment="1">
      <alignment horizontal="left"/>
    </xf>
    <xf numFmtId="0" fontId="22" fillId="25" borderId="2" xfId="0" applyFont="1" applyFill="1" applyBorder="1"/>
    <xf numFmtId="0" fontId="24" fillId="25" borderId="21" xfId="0" applyFont="1" applyFill="1" applyBorder="1" applyAlignment="1">
      <alignment horizontal="left" wrapText="1"/>
    </xf>
    <xf numFmtId="0" fontId="20" fillId="25" borderId="33" xfId="0" applyFont="1" applyFill="1" applyBorder="1"/>
    <xf numFmtId="42" fontId="36" fillId="25" borderId="28" xfId="0" applyNumberFormat="1" applyFont="1" applyFill="1" applyBorder="1"/>
    <xf numFmtId="0" fontId="27" fillId="25" borderId="21" xfId="0" applyFont="1" applyFill="1" applyBorder="1" applyAlignment="1">
      <alignment horizontal="center"/>
    </xf>
    <xf numFmtId="5" fontId="27" fillId="25" borderId="20" xfId="0" applyNumberFormat="1" applyFont="1" applyFill="1" applyBorder="1" applyAlignment="1">
      <alignment horizontal="center" vertical="center" wrapText="1"/>
    </xf>
    <xf numFmtId="0" fontId="24" fillId="25" borderId="33" xfId="0" applyFont="1" applyFill="1" applyBorder="1"/>
    <xf numFmtId="0" fontId="25" fillId="25" borderId="33" xfId="0" applyFont="1" applyFill="1" applyBorder="1"/>
    <xf numFmtId="0" fontId="24" fillId="25" borderId="33" xfId="0" applyFont="1" applyFill="1" applyBorder="1" applyAlignment="1">
      <alignment horizontal="left"/>
    </xf>
    <xf numFmtId="0" fontId="23" fillId="25" borderId="33" xfId="0" applyFont="1" applyFill="1" applyBorder="1"/>
    <xf numFmtId="0" fontId="27" fillId="25" borderId="21" xfId="0" applyFont="1" applyFill="1" applyBorder="1" applyAlignment="1" applyProtection="1">
      <alignment horizontal="center" wrapText="1"/>
      <protection locked="0"/>
    </xf>
    <xf numFmtId="0" fontId="27" fillId="25" borderId="21" xfId="0" applyFont="1" applyFill="1" applyBorder="1" applyAlignment="1" applyProtection="1">
      <alignment wrapText="1"/>
      <protection locked="0"/>
    </xf>
    <xf numFmtId="0" fontId="22" fillId="0" borderId="4" xfId="62" applyFont="1" applyBorder="1" applyAlignment="1" applyProtection="1">
      <alignment horizontal="center"/>
      <protection locked="0"/>
    </xf>
    <xf numFmtId="0" fontId="27" fillId="25" borderId="21" xfId="0" applyFont="1" applyFill="1" applyBorder="1" applyProtection="1">
      <protection locked="0"/>
    </xf>
    <xf numFmtId="0" fontId="27" fillId="25" borderId="34" xfId="0" applyFont="1" applyFill="1" applyBorder="1" applyProtection="1">
      <protection locked="0"/>
    </xf>
    <xf numFmtId="5" fontId="27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/>
      <protection locked="0"/>
    </xf>
    <xf numFmtId="0" fontId="27" fillId="0" borderId="34" xfId="0" applyFont="1" applyBorder="1" applyProtection="1">
      <protection locked="0"/>
    </xf>
    <xf numFmtId="41" fontId="44" fillId="25" borderId="20" xfId="0" applyNumberFormat="1" applyFont="1" applyFill="1" applyBorder="1" applyProtection="1">
      <protection locked="0"/>
    </xf>
    <xf numFmtId="0" fontId="31" fillId="25" borderId="21" xfId="0" quotePrefix="1" applyFont="1" applyFill="1" applyBorder="1"/>
    <xf numFmtId="41" fontId="44" fillId="25" borderId="21" xfId="0" applyNumberFormat="1" applyFont="1" applyFill="1" applyBorder="1" applyProtection="1">
      <protection locked="0"/>
    </xf>
    <xf numFmtId="41" fontId="44" fillId="25" borderId="0" xfId="0" applyNumberFormat="1" applyFont="1" applyFill="1" applyProtection="1">
      <protection locked="0"/>
    </xf>
    <xf numFmtId="41" fontId="44" fillId="25" borderId="31" xfId="0" applyNumberFormat="1" applyFont="1" applyFill="1" applyBorder="1" applyProtection="1">
      <protection locked="0"/>
    </xf>
    <xf numFmtId="41" fontId="22" fillId="25" borderId="20" xfId="49" applyNumberFormat="1" applyFont="1" applyFill="1" applyBorder="1" applyProtection="1">
      <protection locked="0"/>
    </xf>
    <xf numFmtId="41" fontId="22" fillId="25" borderId="31" xfId="0" applyNumberFormat="1" applyFont="1" applyFill="1" applyBorder="1" applyProtection="1">
      <protection locked="0"/>
    </xf>
    <xf numFmtId="0" fontId="33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5" fontId="23" fillId="0" borderId="20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25" borderId="9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5" fontId="22" fillId="25" borderId="28" xfId="0" applyNumberFormat="1" applyFont="1" applyFill="1" applyBorder="1"/>
    <xf numFmtId="0" fontId="23" fillId="25" borderId="20" xfId="0" applyFont="1" applyFill="1" applyBorder="1"/>
    <xf numFmtId="0" fontId="23" fillId="25" borderId="4" xfId="0" applyFont="1" applyFill="1" applyBorder="1"/>
    <xf numFmtId="0" fontId="23" fillId="25" borderId="28" xfId="0" applyFont="1" applyFill="1" applyBorder="1"/>
    <xf numFmtId="0" fontId="23" fillId="25" borderId="37" xfId="0" applyFont="1" applyFill="1" applyBorder="1"/>
    <xf numFmtId="0" fontId="23" fillId="25" borderId="34" xfId="0" applyFont="1" applyFill="1" applyBorder="1"/>
    <xf numFmtId="0" fontId="33" fillId="25" borderId="2" xfId="0" applyFont="1" applyFill="1" applyBorder="1"/>
    <xf numFmtId="43" fontId="22" fillId="0" borderId="0" xfId="0" applyNumberFormat="1" applyFont="1" applyAlignment="1" applyProtection="1">
      <alignment horizontal="right"/>
      <protection locked="0"/>
    </xf>
    <xf numFmtId="166" fontId="44" fillId="0" borderId="0" xfId="49" applyNumberFormat="1" applyFont="1" applyAlignment="1" applyProtection="1">
      <alignment horizontal="right"/>
      <protection locked="0"/>
    </xf>
    <xf numFmtId="0" fontId="33" fillId="0" borderId="0" xfId="0" applyFont="1"/>
    <xf numFmtId="1" fontId="45" fillId="25" borderId="33" xfId="0" applyNumberFormat="1" applyFont="1" applyFill="1" applyBorder="1" applyAlignment="1" applyProtection="1">
      <alignment horizontal="center"/>
      <protection locked="0"/>
    </xf>
    <xf numFmtId="0" fontId="45" fillId="25" borderId="21" xfId="0" applyFont="1" applyFill="1" applyBorder="1" applyAlignment="1" applyProtection="1">
      <alignment horizontal="center"/>
      <protection locked="0"/>
    </xf>
    <xf numFmtId="5" fontId="45" fillId="27" borderId="21" xfId="0" applyNumberFormat="1" applyFont="1" applyFill="1" applyBorder="1" applyAlignment="1" applyProtection="1">
      <alignment horizontal="center"/>
      <protection locked="0"/>
    </xf>
    <xf numFmtId="5" fontId="45" fillId="27" borderId="34" xfId="0" applyNumberFormat="1" applyFont="1" applyFill="1" applyBorder="1" applyAlignment="1" applyProtection="1">
      <alignment horizontal="center"/>
      <protection locked="0"/>
    </xf>
    <xf numFmtId="0" fontId="45" fillId="25" borderId="33" xfId="0" applyFont="1" applyFill="1" applyBorder="1" applyProtection="1">
      <protection locked="0"/>
    </xf>
    <xf numFmtId="0" fontId="45" fillId="25" borderId="33" xfId="0" applyFont="1" applyFill="1" applyBorder="1" applyAlignment="1" applyProtection="1">
      <alignment horizontal="center"/>
      <protection locked="0"/>
    </xf>
    <xf numFmtId="0" fontId="45" fillId="25" borderId="0" xfId="0" applyFont="1" applyFill="1" applyAlignment="1" applyProtection="1">
      <alignment horizontal="center"/>
      <protection locked="0"/>
    </xf>
    <xf numFmtId="42" fontId="23" fillId="28" borderId="20" xfId="0" applyNumberFormat="1" applyFont="1" applyFill="1" applyBorder="1"/>
    <xf numFmtId="42" fontId="23" fillId="28" borderId="20" xfId="49" applyNumberFormat="1" applyFont="1" applyFill="1" applyBorder="1"/>
    <xf numFmtId="0" fontId="46" fillId="29" borderId="20" xfId="0" applyFont="1" applyFill="1" applyBorder="1"/>
    <xf numFmtId="37" fontId="46" fillId="29" borderId="20" xfId="0" applyNumberFormat="1" applyFont="1" applyFill="1" applyBorder="1" applyAlignment="1">
      <alignment horizontal="center"/>
    </xf>
    <xf numFmtId="0" fontId="46" fillId="29" borderId="20" xfId="0" applyFont="1" applyFill="1" applyBorder="1" applyAlignment="1">
      <alignment horizontal="center"/>
    </xf>
    <xf numFmtId="9" fontId="45" fillId="25" borderId="0" xfId="0" applyNumberFormat="1" applyFont="1" applyFill="1" applyAlignment="1" applyProtection="1">
      <alignment horizontal="center"/>
      <protection locked="0"/>
    </xf>
    <xf numFmtId="41" fontId="45" fillId="25" borderId="20" xfId="0" applyNumberFormat="1" applyFont="1" applyFill="1" applyBorder="1" applyProtection="1">
      <protection locked="0"/>
    </xf>
    <xf numFmtId="41" fontId="45" fillId="0" borderId="0" xfId="0" applyNumberFormat="1" applyFont="1" applyProtection="1">
      <protection locked="0"/>
    </xf>
    <xf numFmtId="41" fontId="45" fillId="25" borderId="21" xfId="0" applyNumberFormat="1" applyFont="1" applyFill="1" applyBorder="1" applyProtection="1">
      <protection locked="0"/>
    </xf>
    <xf numFmtId="41" fontId="45" fillId="25" borderId="0" xfId="0" applyNumberFormat="1" applyFont="1" applyFill="1" applyProtection="1">
      <protection locked="0"/>
    </xf>
    <xf numFmtId="0" fontId="31" fillId="25" borderId="25" xfId="0" applyFont="1" applyFill="1" applyBorder="1" applyAlignment="1">
      <alignment horizontal="left" wrapText="1" indent="1"/>
    </xf>
    <xf numFmtId="0" fontId="27" fillId="25" borderId="25" xfId="0" applyFont="1" applyFill="1" applyBorder="1" applyAlignment="1">
      <alignment horizontal="left" wrapText="1" indent="1"/>
    </xf>
    <xf numFmtId="0" fontId="47" fillId="0" borderId="0" xfId="0" applyFont="1"/>
    <xf numFmtId="0" fontId="48" fillId="29" borderId="4" xfId="0" applyFont="1" applyFill="1" applyBorder="1" applyProtection="1">
      <protection locked="0"/>
    </xf>
    <xf numFmtId="1" fontId="48" fillId="29" borderId="4" xfId="0" applyNumberFormat="1" applyFont="1" applyFill="1" applyBorder="1" applyAlignment="1" applyProtection="1">
      <alignment horizontal="center"/>
      <protection locked="0"/>
    </xf>
    <xf numFmtId="0" fontId="48" fillId="29" borderId="4" xfId="0" applyFont="1" applyFill="1" applyBorder="1" applyAlignment="1" applyProtection="1">
      <alignment horizontal="center"/>
      <protection locked="0"/>
    </xf>
    <xf numFmtId="0" fontId="48" fillId="29" borderId="20" xfId="0" applyFont="1" applyFill="1" applyBorder="1" applyAlignment="1" applyProtection="1">
      <alignment horizontal="center"/>
      <protection locked="0"/>
    </xf>
    <xf numFmtId="0" fontId="48" fillId="29" borderId="5" xfId="0" applyFont="1" applyFill="1" applyBorder="1" applyAlignment="1" applyProtection="1">
      <alignment horizontal="center"/>
      <protection locked="0"/>
    </xf>
    <xf numFmtId="3" fontId="46" fillId="29" borderId="20" xfId="0" applyNumberFormat="1" applyFont="1" applyFill="1" applyBorder="1" applyAlignment="1">
      <alignment horizontal="center"/>
    </xf>
    <xf numFmtId="1" fontId="22" fillId="25" borderId="34" xfId="0" applyNumberFormat="1" applyFont="1" applyFill="1" applyBorder="1"/>
    <xf numFmtId="0" fontId="23" fillId="0" borderId="20" xfId="0" applyFont="1" applyBorder="1"/>
    <xf numFmtId="5" fontId="22" fillId="0" borderId="20" xfId="0" applyNumberFormat="1" applyFont="1" applyBorder="1" applyAlignment="1">
      <alignment horizontal="center" vertical="center" wrapText="1"/>
    </xf>
    <xf numFmtId="42" fontId="27" fillId="25" borderId="0" xfId="0" applyNumberFormat="1" applyFont="1" applyFill="1"/>
    <xf numFmtId="0" fontId="27" fillId="25" borderId="0" xfId="0" applyFont="1" applyFill="1"/>
    <xf numFmtId="0" fontId="27" fillId="25" borderId="25" xfId="0" applyFont="1" applyFill="1" applyBorder="1" applyAlignment="1">
      <alignment horizontal="left" indent="1"/>
    </xf>
    <xf numFmtId="41" fontId="27" fillId="25" borderId="0" xfId="0" applyNumberFormat="1" applyFont="1" applyFill="1"/>
    <xf numFmtId="0" fontId="27" fillId="0" borderId="35" xfId="0" applyFont="1" applyBorder="1" applyAlignment="1">
      <alignment horizontal="left"/>
    </xf>
    <xf numFmtId="9" fontId="27" fillId="25" borderId="36" xfId="65" applyFont="1" applyFill="1" applyBorder="1" applyAlignment="1">
      <alignment horizontal="center"/>
    </xf>
    <xf numFmtId="0" fontId="49" fillId="0" borderId="0" xfId="0" applyFont="1"/>
    <xf numFmtId="41" fontId="47" fillId="0" borderId="20" xfId="0" applyNumberFormat="1" applyFont="1" applyBorder="1" applyAlignment="1">
      <alignment horizontal="center"/>
    </xf>
    <xf numFmtId="41" fontId="47" fillId="0" borderId="0" xfId="0" applyNumberFormat="1" applyFont="1"/>
    <xf numFmtId="41" fontId="49" fillId="0" borderId="0" xfId="0" applyNumberFormat="1" applyFont="1"/>
    <xf numFmtId="41" fontId="47" fillId="0" borderId="1" xfId="0" applyNumberFormat="1" applyFont="1" applyBorder="1"/>
    <xf numFmtId="167" fontId="22" fillId="0" borderId="0" xfId="0" applyNumberFormat="1" applyFont="1"/>
    <xf numFmtId="0" fontId="38" fillId="0" borderId="0" xfId="0" applyFont="1"/>
    <xf numFmtId="167" fontId="22" fillId="25" borderId="20" xfId="0" applyNumberFormat="1" applyFont="1" applyFill="1" applyBorder="1" applyProtection="1">
      <protection locked="0"/>
    </xf>
    <xf numFmtId="3" fontId="46" fillId="29" borderId="31" xfId="0" applyNumberFormat="1" applyFont="1" applyFill="1" applyBorder="1" applyAlignment="1">
      <alignment horizontal="center"/>
    </xf>
    <xf numFmtId="0" fontId="55" fillId="25" borderId="2" xfId="0" applyFont="1" applyFill="1" applyBorder="1" applyAlignment="1">
      <alignment horizontal="center"/>
    </xf>
    <xf numFmtId="167" fontId="59" fillId="0" borderId="20" xfId="0" applyNumberFormat="1" applyFont="1" applyBorder="1" applyAlignment="1" applyProtection="1">
      <alignment horizontal="right"/>
      <protection locked="0"/>
    </xf>
    <xf numFmtId="10" fontId="59" fillId="0" borderId="20" xfId="65" applyNumberFormat="1" applyFont="1" applyBorder="1" applyAlignment="1" applyProtection="1">
      <alignment horizontal="right" vertical="center" wrapText="1"/>
      <protection locked="0"/>
    </xf>
    <xf numFmtId="10" fontId="59" fillId="0" borderId="20" xfId="65" applyNumberFormat="1" applyFont="1" applyBorder="1" applyAlignment="1" applyProtection="1">
      <alignment horizontal="right"/>
      <protection locked="0"/>
    </xf>
    <xf numFmtId="10" fontId="59" fillId="0" borderId="20" xfId="65" applyNumberFormat="1" applyFont="1" applyBorder="1" applyProtection="1">
      <protection locked="0"/>
    </xf>
    <xf numFmtId="5" fontId="22" fillId="30" borderId="20" xfId="0" applyNumberFormat="1" applyFont="1" applyFill="1" applyBorder="1" applyAlignment="1">
      <alignment horizontal="center" vertical="center" wrapText="1"/>
    </xf>
    <xf numFmtId="164" fontId="22" fillId="30" borderId="20" xfId="0" applyNumberFormat="1" applyFont="1" applyFill="1" applyBorder="1" applyAlignment="1">
      <alignment horizontal="center" vertical="center" wrapText="1"/>
    </xf>
    <xf numFmtId="165" fontId="22" fillId="30" borderId="20" xfId="0" applyNumberFormat="1" applyFont="1" applyFill="1" applyBorder="1" applyAlignment="1">
      <alignment horizontal="center" vertical="center" wrapText="1"/>
    </xf>
    <xf numFmtId="5" fontId="22" fillId="30" borderId="21" xfId="0" applyNumberFormat="1" applyFont="1" applyFill="1" applyBorder="1" applyAlignment="1">
      <alignment horizontal="center" vertical="center" wrapText="1"/>
    </xf>
    <xf numFmtId="41" fontId="22" fillId="30" borderId="20" xfId="0" applyNumberFormat="1" applyFont="1" applyFill="1" applyBorder="1"/>
    <xf numFmtId="41" fontId="22" fillId="30" borderId="21" xfId="0" applyNumberFormat="1" applyFont="1" applyFill="1" applyBorder="1"/>
    <xf numFmtId="0" fontId="60" fillId="25" borderId="0" xfId="0" applyFont="1" applyFill="1"/>
    <xf numFmtId="41" fontId="45" fillId="25" borderId="31" xfId="0" applyNumberFormat="1" applyFont="1" applyFill="1" applyBorder="1" applyProtection="1">
      <protection locked="0"/>
    </xf>
    <xf numFmtId="0" fontId="25" fillId="30" borderId="20" xfId="0" applyFont="1" applyFill="1" applyBorder="1" applyAlignment="1">
      <alignment wrapText="1"/>
    </xf>
    <xf numFmtId="0" fontId="25" fillId="30" borderId="20" xfId="0" applyFont="1" applyFill="1" applyBorder="1"/>
    <xf numFmtId="0" fontId="23" fillId="30" borderId="20" xfId="0" applyFont="1" applyFill="1" applyBorder="1"/>
    <xf numFmtId="2" fontId="22" fillId="25" borderId="20" xfId="0" applyNumberFormat="1" applyFont="1" applyFill="1" applyBorder="1" applyAlignment="1">
      <alignment horizontal="center"/>
    </xf>
    <xf numFmtId="42" fontId="22" fillId="30" borderId="20" xfId="0" applyNumberFormat="1" applyFont="1" applyFill="1" applyBorder="1"/>
    <xf numFmtId="0" fontId="23" fillId="30" borderId="20" xfId="0" applyFont="1" applyFill="1" applyBorder="1" applyAlignment="1">
      <alignment wrapText="1"/>
    </xf>
    <xf numFmtId="0" fontId="25" fillId="25" borderId="21" xfId="0" applyFont="1" applyFill="1" applyBorder="1" applyAlignment="1">
      <alignment wrapText="1"/>
    </xf>
    <xf numFmtId="166" fontId="22" fillId="30" borderId="20" xfId="49" applyNumberFormat="1" applyFont="1" applyFill="1" applyBorder="1"/>
    <xf numFmtId="41" fontId="22" fillId="30" borderId="20" xfId="49" applyNumberFormat="1" applyFont="1" applyFill="1" applyBorder="1"/>
    <xf numFmtId="0" fontId="27" fillId="25" borderId="21" xfId="0" applyFont="1" applyFill="1" applyBorder="1" applyAlignment="1" applyProtection="1">
      <alignment horizontal="left" wrapText="1"/>
      <protection locked="0"/>
    </xf>
    <xf numFmtId="9" fontId="59" fillId="31" borderId="20" xfId="65" applyFont="1" applyFill="1" applyBorder="1" applyAlignment="1" applyProtection="1">
      <alignment horizontal="right"/>
      <protection locked="0"/>
    </xf>
    <xf numFmtId="9" fontId="61" fillId="31" borderId="20" xfId="65" applyFont="1" applyFill="1" applyBorder="1" applyAlignment="1" applyProtection="1">
      <alignment horizontal="right"/>
      <protection locked="0"/>
    </xf>
    <xf numFmtId="0" fontId="62" fillId="0" borderId="0" xfId="0" applyFont="1"/>
    <xf numFmtId="0" fontId="33" fillId="0" borderId="0" xfId="0" applyFont="1" applyAlignment="1">
      <alignment horizontal="center"/>
    </xf>
    <xf numFmtId="167" fontId="22" fillId="25" borderId="21" xfId="0" applyNumberFormat="1" applyFont="1" applyFill="1" applyBorder="1"/>
    <xf numFmtId="0" fontId="22" fillId="25" borderId="33" xfId="0" applyFont="1" applyFill="1" applyBorder="1" applyAlignment="1">
      <alignment horizontal="left" wrapText="1" indent="1"/>
    </xf>
    <xf numFmtId="42" fontId="27" fillId="31" borderId="32" xfId="0" applyNumberFormat="1" applyFont="1" applyFill="1" applyBorder="1"/>
    <xf numFmtId="41" fontId="27" fillId="31" borderId="21" xfId="0" applyNumberFormat="1" applyFont="1" applyFill="1" applyBorder="1"/>
    <xf numFmtId="0" fontId="59" fillId="25" borderId="20" xfId="0" applyFont="1" applyFill="1" applyBorder="1" applyProtection="1">
      <protection locked="0"/>
    </xf>
    <xf numFmtId="0" fontId="59" fillId="25" borderId="37" xfId="0" applyFont="1" applyFill="1" applyBorder="1" applyProtection="1">
      <protection locked="0"/>
    </xf>
    <xf numFmtId="0" fontId="59" fillId="25" borderId="21" xfId="0" applyFont="1" applyFill="1" applyBorder="1" applyProtection="1">
      <protection locked="0"/>
    </xf>
    <xf numFmtId="0" fontId="59" fillId="25" borderId="33" xfId="0" applyFont="1" applyFill="1" applyBorder="1" applyProtection="1">
      <protection locked="0"/>
    </xf>
    <xf numFmtId="0" fontId="59" fillId="25" borderId="21" xfId="0" applyFont="1" applyFill="1" applyBorder="1" applyAlignment="1" applyProtection="1">
      <alignment horizontal="left"/>
      <protection locked="0"/>
    </xf>
    <xf numFmtId="5" fontId="59" fillId="27" borderId="31" xfId="0" applyNumberFormat="1" applyFont="1" applyFill="1" applyBorder="1" applyAlignment="1" applyProtection="1">
      <alignment horizontal="center"/>
      <protection locked="0"/>
    </xf>
    <xf numFmtId="5" fontId="59" fillId="27" borderId="21" xfId="0" applyNumberFormat="1" applyFont="1" applyFill="1" applyBorder="1" applyAlignment="1" applyProtection="1">
      <alignment horizontal="center"/>
      <protection locked="0"/>
    </xf>
    <xf numFmtId="5" fontId="59" fillId="27" borderId="34" xfId="0" applyNumberFormat="1" applyFont="1" applyFill="1" applyBorder="1" applyAlignment="1" applyProtection="1">
      <alignment horizontal="center"/>
      <protection locked="0"/>
    </xf>
    <xf numFmtId="0" fontId="59" fillId="25" borderId="33" xfId="0" applyFont="1" applyFill="1" applyBorder="1" applyAlignment="1" applyProtection="1">
      <alignment wrapText="1"/>
      <protection locked="0"/>
    </xf>
    <xf numFmtId="164" fontId="59" fillId="25" borderId="33" xfId="0" applyNumberFormat="1" applyFont="1" applyFill="1" applyBorder="1" applyAlignment="1" applyProtection="1">
      <alignment horizontal="center"/>
      <protection locked="0"/>
    </xf>
    <xf numFmtId="41" fontId="59" fillId="0" borderId="0" xfId="0" applyNumberFormat="1" applyFont="1"/>
    <xf numFmtId="41" fontId="59" fillId="0" borderId="0" xfId="45" applyNumberFormat="1" applyFont="1" applyProtection="1">
      <protection locked="0"/>
    </xf>
    <xf numFmtId="166" fontId="59" fillId="0" borderId="20" xfId="49" applyNumberFormat="1" applyFont="1" applyBorder="1" applyAlignment="1" applyProtection="1">
      <alignment horizontal="right"/>
      <protection locked="0"/>
    </xf>
    <xf numFmtId="9" fontId="59" fillId="0" borderId="20" xfId="65" applyFont="1" applyBorder="1" applyAlignment="1" applyProtection="1">
      <alignment horizontal="right"/>
      <protection locked="0"/>
    </xf>
    <xf numFmtId="9" fontId="59" fillId="0" borderId="20" xfId="0" applyNumberFormat="1" applyFont="1" applyBorder="1" applyProtection="1">
      <protection locked="0"/>
    </xf>
    <xf numFmtId="0" fontId="59" fillId="0" borderId="0" xfId="0" applyFont="1"/>
    <xf numFmtId="41" fontId="59" fillId="0" borderId="1" xfId="0" applyNumberFormat="1" applyFont="1" applyBorder="1"/>
    <xf numFmtId="0" fontId="56" fillId="25" borderId="0" xfId="0" applyFont="1" applyFill="1"/>
    <xf numFmtId="0" fontId="22" fillId="31" borderId="33" xfId="0" applyFont="1" applyFill="1" applyBorder="1" applyAlignment="1">
      <alignment vertical="center"/>
    </xf>
    <xf numFmtId="41" fontId="59" fillId="31" borderId="20" xfId="49" applyNumberFormat="1" applyFont="1" applyFill="1" applyBorder="1" applyAlignment="1" applyProtection="1">
      <alignment horizontal="right"/>
      <protection locked="0"/>
    </xf>
    <xf numFmtId="41" fontId="59" fillId="0" borderId="20" xfId="0" applyNumberFormat="1" applyFont="1" applyBorder="1" applyAlignment="1" applyProtection="1">
      <alignment horizontal="right"/>
      <protection locked="0"/>
    </xf>
    <xf numFmtId="166" fontId="59" fillId="0" borderId="20" xfId="49" applyNumberFormat="1" applyFont="1" applyBorder="1" applyAlignment="1" applyProtection="1">
      <alignment horizontal="right" wrapText="1"/>
      <protection locked="0"/>
    </xf>
    <xf numFmtId="0" fontId="63" fillId="0" borderId="0" xfId="0" applyFont="1"/>
    <xf numFmtId="41" fontId="59" fillId="25" borderId="20" xfId="0" applyNumberFormat="1" applyFont="1" applyFill="1" applyBorder="1" applyProtection="1">
      <protection locked="0"/>
    </xf>
    <xf numFmtId="41" fontId="59" fillId="0" borderId="20" xfId="0" applyNumberFormat="1" applyFont="1" applyBorder="1" applyProtection="1">
      <protection locked="0"/>
    </xf>
    <xf numFmtId="41" fontId="59" fillId="25" borderId="21" xfId="0" applyNumberFormat="1" applyFont="1" applyFill="1" applyBorder="1" applyProtection="1">
      <protection locked="0"/>
    </xf>
    <xf numFmtId="41" fontId="59" fillId="0" borderId="0" xfId="0" applyNumberFormat="1" applyFont="1" applyProtection="1">
      <protection locked="0"/>
    </xf>
    <xf numFmtId="0" fontId="27" fillId="31" borderId="25" xfId="0" applyFont="1" applyFill="1" applyBorder="1" applyAlignment="1">
      <alignment horizontal="left" indent="1"/>
    </xf>
    <xf numFmtId="0" fontId="22" fillId="25" borderId="21" xfId="0" applyFont="1" applyFill="1" applyBorder="1" applyAlignment="1">
      <alignment horizontal="left" wrapText="1"/>
    </xf>
    <xf numFmtId="0" fontId="22" fillId="25" borderId="34" xfId="0" applyFont="1" applyFill="1" applyBorder="1" applyAlignment="1">
      <alignment horizontal="left" wrapText="1"/>
    </xf>
    <xf numFmtId="164" fontId="59" fillId="31" borderId="33" xfId="0" applyNumberFormat="1" applyFont="1" applyFill="1" applyBorder="1" applyAlignment="1" applyProtection="1">
      <alignment horizontal="center"/>
      <protection locked="0"/>
    </xf>
    <xf numFmtId="164" fontId="59" fillId="25" borderId="21" xfId="0" applyNumberFormat="1" applyFont="1" applyFill="1" applyBorder="1" applyAlignment="1" applyProtection="1">
      <alignment horizontal="center"/>
      <protection locked="0"/>
    </xf>
    <xf numFmtId="164" fontId="59" fillId="25" borderId="0" xfId="0" applyNumberFormat="1" applyFont="1" applyFill="1" applyAlignment="1" applyProtection="1">
      <alignment horizontal="center"/>
      <protection locked="0"/>
    </xf>
    <xf numFmtId="164" fontId="23" fillId="25" borderId="20" xfId="0" applyNumberFormat="1" applyFont="1" applyFill="1" applyBorder="1" applyAlignment="1">
      <alignment horizontal="center"/>
    </xf>
    <xf numFmtId="0" fontId="23" fillId="25" borderId="25" xfId="0" applyFont="1" applyFill="1" applyBorder="1"/>
    <xf numFmtId="41" fontId="27" fillId="31" borderId="26" xfId="0" applyNumberFormat="1" applyFont="1" applyFill="1" applyBorder="1"/>
    <xf numFmtId="42" fontId="27" fillId="31" borderId="21" xfId="0" applyNumberFormat="1" applyFont="1" applyFill="1" applyBorder="1"/>
    <xf numFmtId="0" fontId="47" fillId="32" borderId="0" xfId="0" applyFont="1" applyFill="1"/>
    <xf numFmtId="0" fontId="42" fillId="32" borderId="0" xfId="0" applyFont="1" applyFill="1"/>
    <xf numFmtId="0" fontId="64" fillId="32" borderId="0" xfId="0" applyFont="1" applyFill="1"/>
    <xf numFmtId="14" fontId="47" fillId="32" borderId="0" xfId="0" applyNumberFormat="1" applyFont="1" applyFill="1"/>
    <xf numFmtId="5" fontId="27" fillId="31" borderId="21" xfId="0" applyNumberFormat="1" applyFont="1" applyFill="1" applyBorder="1" applyAlignment="1">
      <alignment horizontal="center" vertical="center" wrapText="1"/>
    </xf>
    <xf numFmtId="9" fontId="22" fillId="0" borderId="0" xfId="65" applyFont="1" applyAlignment="1">
      <alignment horizontal="center"/>
    </xf>
    <xf numFmtId="166" fontId="23" fillId="0" borderId="0" xfId="49" applyNumberFormat="1" applyFont="1"/>
    <xf numFmtId="0" fontId="28" fillId="0" borderId="0" xfId="0" applyFont="1" applyAlignment="1">
      <alignment horizontal="left"/>
    </xf>
    <xf numFmtId="9" fontId="28" fillId="0" borderId="0" xfId="65" applyFont="1" applyAlignment="1">
      <alignment horizontal="center"/>
    </xf>
    <xf numFmtId="0" fontId="23" fillId="30" borderId="24" xfId="0" applyFont="1" applyFill="1" applyBorder="1"/>
    <xf numFmtId="42" fontId="23" fillId="30" borderId="23" xfId="0" applyNumberFormat="1" applyFont="1" applyFill="1" applyBorder="1"/>
    <xf numFmtId="0" fontId="28" fillId="30" borderId="25" xfId="0" applyFont="1" applyFill="1" applyBorder="1"/>
    <xf numFmtId="9" fontId="28" fillId="30" borderId="0" xfId="65" applyFont="1" applyFill="1" applyAlignment="1">
      <alignment horizontal="center"/>
    </xf>
    <xf numFmtId="0" fontId="23" fillId="30" borderId="25" xfId="0" applyFont="1" applyFill="1" applyBorder="1"/>
    <xf numFmtId="0" fontId="23" fillId="30" borderId="0" xfId="0" applyFont="1" applyFill="1"/>
    <xf numFmtId="42" fontId="23" fillId="30" borderId="0" xfId="0" applyNumberFormat="1" applyFont="1" applyFill="1"/>
    <xf numFmtId="0" fontId="22" fillId="30" borderId="35" xfId="0" applyFont="1" applyFill="1" applyBorder="1"/>
    <xf numFmtId="0" fontId="22" fillId="30" borderId="36" xfId="0" applyFont="1" applyFill="1" applyBorder="1"/>
    <xf numFmtId="0" fontId="31" fillId="31" borderId="25" xfId="0" applyFont="1" applyFill="1" applyBorder="1" applyAlignment="1">
      <alignment horizontal="left" wrapText="1" indent="1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28" fillId="0" borderId="0" xfId="0" applyFont="1"/>
    <xf numFmtId="0" fontId="42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43" fontId="59" fillId="0" borderId="20" xfId="45" applyFont="1" applyBorder="1" applyProtection="1">
      <protection locked="0"/>
    </xf>
    <xf numFmtId="41" fontId="59" fillId="30" borderId="20" xfId="0" applyNumberFormat="1" applyFont="1" applyFill="1" applyBorder="1" applyAlignment="1" applyProtection="1">
      <alignment horizontal="right"/>
      <protection locked="0"/>
    </xf>
    <xf numFmtId="166" fontId="59" fillId="30" borderId="20" xfId="49" applyNumberFormat="1" applyFont="1" applyFill="1" applyBorder="1" applyAlignment="1" applyProtection="1">
      <alignment horizontal="right"/>
      <protection locked="0"/>
    </xf>
    <xf numFmtId="41" fontId="33" fillId="30" borderId="20" xfId="0" applyNumberFormat="1" applyFont="1" applyFill="1" applyBorder="1" applyAlignment="1" applyProtection="1">
      <alignment horizontal="right"/>
      <protection locked="0"/>
    </xf>
    <xf numFmtId="43" fontId="59" fillId="30" borderId="20" xfId="0" applyNumberFormat="1" applyFont="1" applyFill="1" applyBorder="1" applyAlignment="1" applyProtection="1">
      <alignment horizontal="right"/>
      <protection locked="0"/>
    </xf>
    <xf numFmtId="0" fontId="22" fillId="33" borderId="0" xfId="0" applyFont="1" applyFill="1"/>
    <xf numFmtId="2" fontId="45" fillId="25" borderId="33" xfId="0" applyNumberFormat="1" applyFont="1" applyFill="1" applyBorder="1" applyAlignment="1" applyProtection="1">
      <alignment horizontal="center"/>
      <protection locked="0"/>
    </xf>
    <xf numFmtId="166" fontId="59" fillId="0" borderId="0" xfId="49" applyNumberFormat="1" applyFont="1" applyProtection="1">
      <protection locked="0"/>
    </xf>
    <xf numFmtId="166" fontId="59" fillId="0" borderId="0" xfId="49" applyNumberFormat="1" applyFont="1"/>
    <xf numFmtId="167" fontId="59" fillId="0" borderId="0" xfId="0" applyNumberFormat="1" applyFont="1"/>
    <xf numFmtId="9" fontId="61" fillId="0" borderId="20" xfId="65" applyFont="1" applyBorder="1" applyAlignment="1" applyProtection="1">
      <alignment horizontal="right"/>
      <protection locked="0"/>
    </xf>
    <xf numFmtId="0" fontId="76" fillId="0" borderId="0" xfId="0" applyFont="1"/>
    <xf numFmtId="43" fontId="76" fillId="0" borderId="0" xfId="45" applyFont="1"/>
    <xf numFmtId="169" fontId="76" fillId="0" borderId="0" xfId="45" applyNumberFormat="1" applyFont="1"/>
    <xf numFmtId="43" fontId="0" fillId="0" borderId="0" xfId="45" applyFont="1"/>
    <xf numFmtId="169" fontId="0" fillId="0" borderId="0" xfId="45" applyNumberFormat="1" applyFont="1"/>
    <xf numFmtId="43" fontId="76" fillId="0" borderId="0" xfId="45" applyFont="1" applyAlignment="1">
      <alignment horizontal="center"/>
    </xf>
    <xf numFmtId="169" fontId="76" fillId="0" borderId="0" xfId="45" applyNumberFormat="1" applyFont="1" applyAlignment="1">
      <alignment horizontal="center"/>
    </xf>
    <xf numFmtId="43" fontId="0" fillId="0" borderId="0" xfId="45" applyFont="1" applyAlignment="1">
      <alignment horizontal="center"/>
    </xf>
    <xf numFmtId="169" fontId="0" fillId="0" borderId="0" xfId="45" applyNumberFormat="1" applyFont="1" applyAlignment="1">
      <alignment horizontal="center"/>
    </xf>
    <xf numFmtId="0" fontId="76" fillId="0" borderId="0" xfId="0" applyFont="1" applyAlignment="1">
      <alignment horizontal="right"/>
    </xf>
    <xf numFmtId="43" fontId="76" fillId="0" borderId="8" xfId="45" applyFont="1" applyBorder="1" applyAlignment="1">
      <alignment horizontal="center"/>
    </xf>
    <xf numFmtId="169" fontId="76" fillId="0" borderId="8" xfId="45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7" fillId="0" borderId="0" xfId="0" applyFont="1"/>
    <xf numFmtId="0" fontId="0" fillId="0" borderId="0" xfId="0" applyAlignment="1">
      <alignment wrapText="1"/>
    </xf>
    <xf numFmtId="170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170" fontId="0" fillId="0" borderId="0" xfId="0" applyNumberFormat="1" applyAlignment="1">
      <alignment wrapText="1"/>
    </xf>
    <xf numFmtId="170" fontId="0" fillId="0" borderId="0" xfId="0" applyNumberFormat="1"/>
    <xf numFmtId="0" fontId="0" fillId="0" borderId="0" xfId="0" applyAlignment="1">
      <alignment horizontal="center"/>
    </xf>
    <xf numFmtId="170" fontId="0" fillId="0" borderId="38" xfId="0" applyNumberFormat="1" applyBorder="1"/>
    <xf numFmtId="9" fontId="0" fillId="0" borderId="0" xfId="0" applyNumberFormat="1" applyAlignment="1">
      <alignment horizontal="center"/>
    </xf>
    <xf numFmtId="170" fontId="76" fillId="0" borderId="38" xfId="0" applyNumberFormat="1" applyFont="1" applyBorder="1"/>
    <xf numFmtId="170" fontId="76" fillId="0" borderId="0" xfId="0" applyNumberFormat="1" applyFont="1"/>
    <xf numFmtId="0" fontId="0" fillId="0" borderId="0" xfId="0" applyAlignment="1">
      <alignment horizontal="right" wrapText="1"/>
    </xf>
    <xf numFmtId="0" fontId="22" fillId="0" borderId="0" xfId="0" applyFont="1" applyAlignment="1">
      <alignment horizontal="left"/>
    </xf>
    <xf numFmtId="5" fontId="22" fillId="0" borderId="0" xfId="0" applyNumberFormat="1" applyFont="1" applyAlignment="1">
      <alignment horizontal="left" vertical="center" wrapText="1"/>
    </xf>
    <xf numFmtId="44" fontId="59" fillId="0" borderId="0" xfId="49" applyFont="1" applyAlignment="1" applyProtection="1">
      <alignment horizontal="left" wrapText="1"/>
      <protection locked="0"/>
    </xf>
    <xf numFmtId="9" fontId="59" fillId="31" borderId="0" xfId="49" applyNumberFormat="1" applyFont="1" applyFill="1" applyAlignment="1" applyProtection="1">
      <alignment horizontal="left"/>
      <protection locked="0"/>
    </xf>
    <xf numFmtId="6" fontId="59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9" fontId="59" fillId="0" borderId="0" xfId="0" applyNumberFormat="1" applyFont="1" applyAlignment="1" applyProtection="1">
      <alignment horizontal="left"/>
      <protection locked="0"/>
    </xf>
    <xf numFmtId="10" fontId="59" fillId="0" borderId="0" xfId="65" applyNumberFormat="1" applyFont="1" applyAlignment="1" applyProtection="1">
      <alignment horizontal="left" vertical="center" wrapText="1"/>
      <protection locked="0"/>
    </xf>
    <xf numFmtId="10" fontId="59" fillId="0" borderId="0" xfId="65" applyNumberFormat="1" applyFont="1" applyAlignment="1" applyProtection="1">
      <alignment horizontal="left"/>
      <protection locked="0"/>
    </xf>
    <xf numFmtId="43" fontId="59" fillId="0" borderId="0" xfId="45" applyFont="1" applyAlignment="1" applyProtection="1">
      <alignment horizontal="left"/>
      <protection locked="0"/>
    </xf>
    <xf numFmtId="0" fontId="22" fillId="0" borderId="0" xfId="62" applyFont="1" applyAlignment="1" applyProtection="1">
      <alignment horizontal="left"/>
      <protection locked="0"/>
    </xf>
    <xf numFmtId="6" fontId="22" fillId="0" borderId="0" xfId="62" applyNumberFormat="1" applyFont="1" applyAlignment="1" applyProtection="1">
      <alignment horizontal="left"/>
      <protection locked="0"/>
    </xf>
    <xf numFmtId="0" fontId="59" fillId="0" borderId="0" xfId="49" applyNumberFormat="1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31" borderId="0" xfId="65" applyNumberFormat="1" applyFont="1" applyFill="1" applyAlignment="1" applyProtection="1">
      <alignment horizontal="left"/>
      <protection locked="0"/>
    </xf>
    <xf numFmtId="0" fontId="61" fillId="31" borderId="0" xfId="65" applyNumberFormat="1" applyFont="1" applyFill="1" applyAlignment="1" applyProtection="1">
      <alignment horizontal="left"/>
      <protection locked="0"/>
    </xf>
    <xf numFmtId="0" fontId="59" fillId="0" borderId="0" xfId="65" applyNumberFormat="1" applyFont="1" applyAlignment="1" applyProtection="1">
      <alignment horizontal="left"/>
      <protection locked="0"/>
    </xf>
    <xf numFmtId="0" fontId="44" fillId="0" borderId="0" xfId="49" applyNumberFormat="1" applyFont="1" applyAlignment="1" applyProtection="1">
      <alignment horizontal="left"/>
      <protection locked="0"/>
    </xf>
    <xf numFmtId="0" fontId="59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0" fontId="76" fillId="0" borderId="20" xfId="0" applyFont="1" applyBorder="1"/>
    <xf numFmtId="2" fontId="76" fillId="0" borderId="20" xfId="0" applyNumberFormat="1" applyFont="1" applyBorder="1" applyAlignment="1">
      <alignment horizontal="center"/>
    </xf>
    <xf numFmtId="0" fontId="76" fillId="0" borderId="20" xfId="0" applyFont="1" applyBorder="1" applyAlignment="1">
      <alignment horizontal="center" wrapText="1"/>
    </xf>
    <xf numFmtId="170" fontId="76" fillId="0" borderId="2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170" fontId="0" fillId="0" borderId="5" xfId="0" applyNumberFormat="1" applyBorder="1" applyAlignment="1">
      <alignment horizontal="right"/>
    </xf>
    <xf numFmtId="0" fontId="0" fillId="0" borderId="0" xfId="0" applyAlignment="1">
      <alignment horizontal="left"/>
    </xf>
    <xf numFmtId="166" fontId="0" fillId="0" borderId="5" xfId="49" applyNumberFormat="1" applyFont="1" applyBorder="1" applyAlignment="1">
      <alignment horizontal="right"/>
    </xf>
    <xf numFmtId="166" fontId="0" fillId="0" borderId="1" xfId="49" applyNumberFormat="1" applyFont="1" applyBorder="1" applyAlignment="1">
      <alignment horizontal="right"/>
    </xf>
    <xf numFmtId="166" fontId="0" fillId="0" borderId="8" xfId="49" applyNumberFormat="1" applyFont="1" applyBorder="1" applyAlignment="1">
      <alignment horizontal="right"/>
    </xf>
    <xf numFmtId="0" fontId="31" fillId="0" borderId="25" xfId="0" applyFont="1" applyBorder="1" applyAlignment="1">
      <alignment horizontal="left" indent="1"/>
    </xf>
    <xf numFmtId="0" fontId="27" fillId="0" borderId="25" xfId="0" applyFont="1" applyBorder="1" applyAlignment="1">
      <alignment horizontal="left" indent="1"/>
    </xf>
    <xf numFmtId="43" fontId="45" fillId="25" borderId="20" xfId="0" applyNumberFormat="1" applyFont="1" applyFill="1" applyBorder="1" applyProtection="1">
      <protection locked="0"/>
    </xf>
    <xf numFmtId="43" fontId="22" fillId="25" borderId="20" xfId="49" applyNumberFormat="1" applyFont="1" applyFill="1" applyBorder="1" applyProtection="1">
      <protection locked="0"/>
    </xf>
    <xf numFmtId="17" fontId="0" fillId="0" borderId="0" xfId="0" applyNumberFormat="1"/>
    <xf numFmtId="167" fontId="0" fillId="0" borderId="0" xfId="45" applyNumberFormat="1" applyFont="1"/>
    <xf numFmtId="167" fontId="25" fillId="30" borderId="20" xfId="45" applyNumberFormat="1" applyFont="1" applyFill="1" applyBorder="1"/>
    <xf numFmtId="167" fontId="25" fillId="30" borderId="20" xfId="45" applyNumberFormat="1" applyFont="1" applyFill="1" applyBorder="1" applyAlignment="1">
      <alignment wrapText="1"/>
    </xf>
    <xf numFmtId="167" fontId="23" fillId="25" borderId="33" xfId="45" applyNumberFormat="1" applyFont="1" applyFill="1" applyBorder="1" applyAlignment="1">
      <alignment wrapText="1"/>
    </xf>
    <xf numFmtId="167" fontId="23" fillId="30" borderId="20" xfId="45" applyNumberFormat="1" applyFont="1" applyFill="1" applyBorder="1" applyAlignment="1">
      <alignment wrapText="1"/>
    </xf>
    <xf numFmtId="0" fontId="65" fillId="0" borderId="0" xfId="0" applyFont="1" applyAlignment="1">
      <alignment horizontal="left" wrapText="1"/>
    </xf>
    <xf numFmtId="0" fontId="74" fillId="32" borderId="0" xfId="0" applyFont="1" applyFill="1" applyAlignment="1">
      <alignment horizontal="center" vertical="center" wrapText="1"/>
    </xf>
    <xf numFmtId="168" fontId="50" fillId="32" borderId="0" xfId="0" applyNumberFormat="1" applyFont="1" applyFill="1" applyAlignment="1">
      <alignment horizont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 applyAlignment="1">
      <alignment horizontal="center"/>
    </xf>
    <xf numFmtId="0" fontId="53" fillId="32" borderId="0" xfId="0" applyFont="1" applyFill="1" applyAlignment="1">
      <alignment horizontal="center"/>
    </xf>
    <xf numFmtId="0" fontId="75" fillId="32" borderId="0" xfId="0" applyFont="1" applyFill="1" applyAlignment="1">
      <alignment horizontal="center"/>
    </xf>
    <xf numFmtId="0" fontId="30" fillId="25" borderId="8" xfId="0" applyFont="1" applyFill="1" applyBorder="1" applyAlignment="1">
      <alignment horizontal="center"/>
    </xf>
    <xf numFmtId="0" fontId="38" fillId="20" borderId="31" xfId="0" applyFont="1" applyFill="1" applyBorder="1" applyAlignment="1">
      <alignment horizontal="center" vertical="center" wrapText="1"/>
    </xf>
    <xf numFmtId="0" fontId="38" fillId="20" borderId="34" xfId="0" applyFont="1" applyFill="1" applyBorder="1" applyAlignment="1">
      <alignment horizontal="center" vertical="center" wrapText="1"/>
    </xf>
    <xf numFmtId="5" fontId="23" fillId="20" borderId="4" xfId="0" applyNumberFormat="1" applyFont="1" applyFill="1" applyBorder="1" applyAlignment="1">
      <alignment horizontal="center"/>
    </xf>
    <xf numFmtId="0" fontId="23" fillId="20" borderId="5" xfId="0" applyFont="1" applyFill="1" applyBorder="1" applyAlignment="1">
      <alignment horizontal="center"/>
    </xf>
    <xf numFmtId="0" fontId="23" fillId="20" borderId="7" xfId="0" applyFont="1" applyFill="1" applyBorder="1" applyAlignment="1">
      <alignment horizontal="center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LSTEC Bottom" xfId="25"/>
    <cellStyle name="ALSTEC Bottom Left" xfId="26"/>
    <cellStyle name="ALSTEC Bottom Right" xfId="27"/>
    <cellStyle name="ALSTEC Currency" xfId="28"/>
    <cellStyle name="ALSTEC Date" xfId="29"/>
    <cellStyle name="ALSTEC Detail Header" xfId="30"/>
    <cellStyle name="ALSTEC DOUBLE" xfId="31"/>
    <cellStyle name="ALSTEC Left" xfId="32"/>
    <cellStyle name="ALSTEC Middle" xfId="33"/>
    <cellStyle name="ALSTEC Normal" xfId="34"/>
    <cellStyle name="ALSTEC Report Body" xfId="35"/>
    <cellStyle name="ALSTEC Right" xfId="36"/>
    <cellStyle name="ALSTEC Subtotal" xfId="37"/>
    <cellStyle name="ALSTEC Top" xfId="38"/>
    <cellStyle name="ALSTEC Top Left" xfId="39"/>
    <cellStyle name="ALSTEC Top Right" xfId="40"/>
    <cellStyle name="ALSTEC Total" xfId="41"/>
    <cellStyle name="Bad" xfId="42" builtinId="27" customBuiltin="1"/>
    <cellStyle name="Calculation" xfId="43" builtinId="22" customBuiltin="1"/>
    <cellStyle name="Check Cell" xfId="44" builtinId="23" customBuiltin="1"/>
    <cellStyle name="Comma" xfId="45" builtinId="3"/>
    <cellStyle name="Comma 2" xfId="46"/>
    <cellStyle name="Comma 3" xfId="47"/>
    <cellStyle name="Comma 4" xfId="48"/>
    <cellStyle name="Currency" xfId="49" builtinId="4"/>
    <cellStyle name="Currency 2" xfId="50"/>
    <cellStyle name="Currency 3" xfId="51"/>
    <cellStyle name="Currency 4" xfId="52"/>
    <cellStyle name="Explanatory Text" xfId="53" builtinId="53" customBuiltin="1"/>
    <cellStyle name="Good" xfId="54" builtinId="26" customBuiltin="1"/>
    <cellStyle name="Heading 1" xfId="55" builtinId="16" customBuiltin="1"/>
    <cellStyle name="Heading 2" xfId="56" builtinId="17" customBuiltin="1"/>
    <cellStyle name="Heading 3" xfId="57" builtinId="18" customBuiltin="1"/>
    <cellStyle name="Heading 4" xfId="58" builtinId="19" customBuiltin="1"/>
    <cellStyle name="Input" xfId="59" builtinId="20" customBuiltin="1"/>
    <cellStyle name="Linked Cell" xfId="60" builtinId="24" customBuiltin="1"/>
    <cellStyle name="Neutral" xfId="61" builtinId="28" customBuiltin="1"/>
    <cellStyle name="Normal" xfId="0" builtinId="0"/>
    <cellStyle name="Normal_PS1 FY10 budget worksheet" xfId="62"/>
    <cellStyle name="Note" xfId="63" builtinId="10" customBuiltin="1"/>
    <cellStyle name="Output" xfId="64" builtinId="21" customBuiltin="1"/>
    <cellStyle name="Percent" xfId="65" builtinId="5"/>
    <cellStyle name="Percent 2" xfId="66"/>
    <cellStyle name="Percent 3" xfId="67"/>
    <cellStyle name="Percent 4" xfId="68"/>
    <cellStyle name="Title" xfId="69" builtinId="15" customBuiltin="1"/>
    <cellStyle name="Total" xfId="70" builtinId="25" customBuiltin="1"/>
    <cellStyle name="Warning Text" xfId="7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Lori\AppData\Local\Microsoft\Windows\INetCache\Content.Outlook\YPTTZK9T\Highline2%25206yr%2520budget_ACTIVE_DPS%2520ECE%2520Draft%25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nstructions"/>
      <sheetName val="2-Cover Page"/>
      <sheetName val="3-Budget Detail"/>
      <sheetName val="4-Equipment"/>
      <sheetName val="5a-Budget Summary-Year 1"/>
      <sheetName val="5b-Budget Summary-Year 2"/>
      <sheetName val="5c-Budget Summary-Year 3"/>
      <sheetName val="6-Error Checking"/>
      <sheetName val="7-Revisions-Comments"/>
      <sheetName val="Calculation Equipment"/>
      <sheetName val="Other"/>
      <sheetName val="Calculation Detail"/>
      <sheetName val="budget"/>
      <sheetName val="salaries"/>
      <sheetName val="notes"/>
      <sheetName val="Budget Analysis"/>
      <sheetName val="Assumptions"/>
      <sheetName val="Staff N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Inst. - Salaries (0100)</v>
          </cell>
        </row>
        <row r="2">
          <cell r="D2" t="str">
            <v>Inst. - Employee Benefits (0200)</v>
          </cell>
        </row>
        <row r="3">
          <cell r="D3" t="str">
            <v>Inst. - Purchased Professional &amp; Technical Services (0300)</v>
          </cell>
        </row>
        <row r="4">
          <cell r="D4" t="str">
            <v>Inst. - Other Purchased Services (0500)</v>
          </cell>
        </row>
        <row r="5">
          <cell r="A5" t="str">
            <v>Project 1-Year 1</v>
          </cell>
          <cell r="D5" t="str">
            <v>Inst. - Travel, Registration and Entrance (0580)</v>
          </cell>
        </row>
        <row r="6">
          <cell r="A6" t="str">
            <v>Project 2-Year 1</v>
          </cell>
          <cell r="D6" t="str">
            <v>Inst. - Supplies (0600)</v>
          </cell>
        </row>
        <row r="7">
          <cell r="A7" t="str">
            <v>Project 3-Year 1</v>
          </cell>
          <cell r="D7" t="str">
            <v>Support - Salaries (0100)</v>
          </cell>
        </row>
        <row r="8">
          <cell r="A8" t="str">
            <v>Project 4-Year 1</v>
          </cell>
          <cell r="D8" t="str">
            <v>Support - Employee Benefits (0200)</v>
          </cell>
        </row>
        <row r="9">
          <cell r="A9" t="str">
            <v>Project 5-Year 1</v>
          </cell>
          <cell r="D9" t="str">
            <v>Support - Purchased Professional &amp; Technical Services (0300)</v>
          </cell>
        </row>
        <row r="10">
          <cell r="A10" t="str">
            <v>Project 1-Year 2</v>
          </cell>
          <cell r="D10" t="str">
            <v>Support - Other Purchased Services (0500)</v>
          </cell>
        </row>
        <row r="11">
          <cell r="A11" t="str">
            <v>Project 2-Year 2</v>
          </cell>
          <cell r="D11" t="str">
            <v>Support - Travel, Registration and Entrance (0580)</v>
          </cell>
        </row>
        <row r="12">
          <cell r="A12" t="str">
            <v>Project 3-Year 2</v>
          </cell>
          <cell r="D12" t="str">
            <v>Support - Supplies (0600)</v>
          </cell>
        </row>
        <row r="13">
          <cell r="A13" t="str">
            <v>Project 4-Year 2</v>
          </cell>
        </row>
        <row r="14">
          <cell r="A14" t="str">
            <v>Project 5-Year 2</v>
          </cell>
        </row>
        <row r="15">
          <cell r="A15" t="str">
            <v>Project 1-Year 3</v>
          </cell>
        </row>
        <row r="16">
          <cell r="A16" t="str">
            <v>Project 2-Year 3</v>
          </cell>
        </row>
        <row r="17">
          <cell r="A17" t="str">
            <v>Project 3-Year 3</v>
          </cell>
        </row>
        <row r="18">
          <cell r="A18" t="str">
            <v>Project 4-Year 3</v>
          </cell>
        </row>
        <row r="19">
          <cell r="A19" t="str">
            <v>Project 5-Year 3</v>
          </cell>
        </row>
      </sheetData>
      <sheetData sheetId="11"/>
      <sheetData sheetId="12"/>
      <sheetData sheetId="13"/>
      <sheetData sheetId="14"/>
      <sheetData sheetId="15">
        <row r="4">
          <cell r="G4">
            <v>400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O31"/>
  <sheetViews>
    <sheetView showGridLines="0" workbookViewId="0"/>
  </sheetViews>
  <sheetFormatPr defaultColWidth="9.140625" defaultRowHeight="12.75" x14ac:dyDescent="0.2"/>
  <cols>
    <col min="1" max="1" width="3.7109375" style="299" customWidth="1"/>
    <col min="2" max="2" width="4.28515625" style="291" customWidth="1"/>
    <col min="3" max="16384" width="9.140625" style="291"/>
  </cols>
  <sheetData>
    <row r="1" spans="1:15" ht="6" customHeight="1" x14ac:dyDescent="0.2"/>
    <row r="2" spans="1:15" ht="26.25" x14ac:dyDescent="0.4">
      <c r="A2" s="300" t="s">
        <v>229</v>
      </c>
    </row>
    <row r="3" spans="1:15" ht="5.25" customHeight="1" x14ac:dyDescent="0.25">
      <c r="A3" s="298"/>
    </row>
    <row r="4" spans="1:15" ht="67.5" customHeight="1" x14ac:dyDescent="0.25">
      <c r="A4" s="298"/>
      <c r="B4" s="381" t="s">
        <v>266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s="292" customFormat="1" ht="15.75" x14ac:dyDescent="0.25">
      <c r="A5" s="298">
        <v>1</v>
      </c>
      <c r="B5" s="292" t="s">
        <v>228</v>
      </c>
    </row>
    <row r="6" spans="1:15" s="292" customFormat="1" ht="15.75" x14ac:dyDescent="0.25">
      <c r="A6" s="298">
        <v>2</v>
      </c>
      <c r="B6" s="292" t="s">
        <v>227</v>
      </c>
    </row>
    <row r="7" spans="1:15" s="292" customFormat="1" ht="15.75" x14ac:dyDescent="0.25">
      <c r="A7" s="298"/>
      <c r="B7" s="293" t="s">
        <v>226</v>
      </c>
    </row>
    <row r="8" spans="1:15" s="292" customFormat="1" ht="15.75" x14ac:dyDescent="0.25">
      <c r="A8" s="298">
        <v>3</v>
      </c>
      <c r="B8" s="292" t="s">
        <v>225</v>
      </c>
    </row>
    <row r="9" spans="1:15" s="292" customFormat="1" ht="15.75" x14ac:dyDescent="0.25">
      <c r="A9" s="298"/>
      <c r="B9" s="292" t="s">
        <v>224</v>
      </c>
    </row>
    <row r="10" spans="1:15" s="292" customFormat="1" ht="15.75" x14ac:dyDescent="0.25">
      <c r="A10" s="298"/>
      <c r="B10" s="292" t="s">
        <v>223</v>
      </c>
    </row>
    <row r="11" spans="1:15" s="292" customFormat="1" ht="15.75" x14ac:dyDescent="0.25">
      <c r="A11" s="298"/>
      <c r="B11" s="292" t="s">
        <v>242</v>
      </c>
    </row>
    <row r="12" spans="1:15" s="292" customFormat="1" ht="15.75" x14ac:dyDescent="0.25">
      <c r="A12" s="298"/>
      <c r="B12" s="292" t="s">
        <v>222</v>
      </c>
    </row>
    <row r="13" spans="1:15" s="292" customFormat="1" ht="15.75" x14ac:dyDescent="0.25">
      <c r="A13" s="298"/>
      <c r="B13" s="293" t="s">
        <v>221</v>
      </c>
    </row>
    <row r="14" spans="1:15" s="292" customFormat="1" ht="15.75" x14ac:dyDescent="0.25">
      <c r="A14" s="298"/>
      <c r="B14" s="293" t="s">
        <v>220</v>
      </c>
    </row>
    <row r="15" spans="1:15" s="292" customFormat="1" ht="15.75" x14ac:dyDescent="0.25">
      <c r="A15" s="298">
        <v>4</v>
      </c>
      <c r="B15" s="292" t="s">
        <v>219</v>
      </c>
    </row>
    <row r="16" spans="1:15" s="292" customFormat="1" ht="15.75" x14ac:dyDescent="0.25">
      <c r="A16" s="298"/>
      <c r="B16" s="292" t="s">
        <v>218</v>
      </c>
    </row>
    <row r="17" spans="1:3" s="292" customFormat="1" ht="15.75" x14ac:dyDescent="0.25">
      <c r="A17" s="298"/>
      <c r="B17" s="292" t="s">
        <v>235</v>
      </c>
    </row>
    <row r="18" spans="1:3" s="292" customFormat="1" ht="15.75" x14ac:dyDescent="0.25">
      <c r="A18" s="298">
        <v>5</v>
      </c>
      <c r="B18" s="292" t="s">
        <v>250</v>
      </c>
    </row>
    <row r="19" spans="1:3" s="292" customFormat="1" ht="15.75" x14ac:dyDescent="0.25">
      <c r="A19" s="298"/>
      <c r="B19" s="292" t="s">
        <v>236</v>
      </c>
    </row>
    <row r="20" spans="1:3" s="292" customFormat="1" ht="15.75" x14ac:dyDescent="0.25">
      <c r="A20" s="298"/>
      <c r="B20" s="292" t="s">
        <v>237</v>
      </c>
    </row>
    <row r="21" spans="1:3" s="292" customFormat="1" ht="15.75" x14ac:dyDescent="0.25">
      <c r="A21" s="298"/>
      <c r="B21" s="292" t="s">
        <v>238</v>
      </c>
    </row>
    <row r="22" spans="1:3" s="292" customFormat="1" ht="15.75" x14ac:dyDescent="0.25">
      <c r="A22" s="298">
        <v>6</v>
      </c>
      <c r="B22" s="292" t="s">
        <v>217</v>
      </c>
    </row>
    <row r="23" spans="1:3" s="292" customFormat="1" ht="15.75" x14ac:dyDescent="0.25">
      <c r="A23" s="298"/>
      <c r="B23" s="292" t="s">
        <v>216</v>
      </c>
    </row>
    <row r="24" spans="1:3" s="292" customFormat="1" ht="15.75" x14ac:dyDescent="0.25">
      <c r="A24" s="298"/>
      <c r="B24" s="292" t="s">
        <v>247</v>
      </c>
    </row>
    <row r="25" spans="1:3" s="292" customFormat="1" ht="15.75" x14ac:dyDescent="0.25">
      <c r="A25" s="298"/>
      <c r="B25" s="292" t="s">
        <v>248</v>
      </c>
    </row>
    <row r="26" spans="1:3" s="292" customFormat="1" ht="15.75" x14ac:dyDescent="0.25">
      <c r="A26" s="298">
        <v>7</v>
      </c>
      <c r="B26" s="295" t="s">
        <v>239</v>
      </c>
    </row>
    <row r="27" spans="1:3" s="292" customFormat="1" ht="15.75" x14ac:dyDescent="0.25">
      <c r="A27" s="298"/>
      <c r="B27" s="296" t="s">
        <v>240</v>
      </c>
    </row>
    <row r="28" spans="1:3" s="292" customFormat="1" ht="15.75" x14ac:dyDescent="0.25">
      <c r="A28" s="298">
        <v>8</v>
      </c>
      <c r="B28" s="292" t="s">
        <v>241</v>
      </c>
    </row>
    <row r="30" spans="1:3" ht="15.75" x14ac:dyDescent="0.25">
      <c r="A30" s="298" t="s">
        <v>244</v>
      </c>
      <c r="B30" s="297"/>
      <c r="C30" s="298" t="s">
        <v>245</v>
      </c>
    </row>
    <row r="31" spans="1:3" ht="15.75" x14ac:dyDescent="0.25">
      <c r="A31" s="301"/>
      <c r="B31" s="297"/>
      <c r="C31" s="298" t="s">
        <v>246</v>
      </c>
    </row>
  </sheetData>
  <mergeCells count="1">
    <mergeCell ref="B4:O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87"/>
  <sheetViews>
    <sheetView view="pageBreakPreview" topLeftCell="A29" zoomScaleNormal="80" zoomScaleSheetLayoutView="100" workbookViewId="0">
      <selection activeCell="B42" sqref="B42"/>
    </sheetView>
  </sheetViews>
  <sheetFormatPr defaultColWidth="11.42578125" defaultRowHeight="12.75" x14ac:dyDescent="0.2"/>
  <cols>
    <col min="1" max="1" width="36.5703125" style="1" customWidth="1"/>
    <col min="2" max="5" width="12.7109375" style="1" customWidth="1"/>
    <col min="6" max="6" width="45.7109375" style="48" customWidth="1"/>
    <col min="7" max="16384" width="11.42578125" style="1"/>
  </cols>
  <sheetData>
    <row r="1" spans="1:6" ht="18.75" x14ac:dyDescent="0.3">
      <c r="A1" s="99" t="str">
        <f>'Page 3-Assumptions'!A1</f>
        <v>Colorado Military Academy</v>
      </c>
      <c r="B1" s="100"/>
      <c r="C1" s="100"/>
      <c r="D1" s="100"/>
      <c r="E1" s="64"/>
      <c r="F1" s="136" t="s">
        <v>186</v>
      </c>
    </row>
    <row r="2" spans="1:6" ht="18.75" x14ac:dyDescent="0.3">
      <c r="A2" s="101" t="str">
        <f>B3</f>
        <v>YEAR 4</v>
      </c>
      <c r="B2" s="14"/>
      <c r="C2" s="14"/>
      <c r="D2" s="14"/>
      <c r="E2" s="66"/>
      <c r="F2" s="114"/>
    </row>
    <row r="3" spans="1:6" s="2" customFormat="1" x14ac:dyDescent="0.2">
      <c r="A3" s="102"/>
      <c r="B3" s="391" t="str">
        <f>'Page 10-6 yr Budget-detail'!F4</f>
        <v>YEAR 4</v>
      </c>
      <c r="C3" s="392"/>
      <c r="D3" s="392"/>
      <c r="E3" s="393"/>
      <c r="F3" s="121"/>
    </row>
    <row r="4" spans="1:6" s="2" customFormat="1" ht="25.5" x14ac:dyDescent="0.2">
      <c r="A4" s="67"/>
      <c r="B4" s="3" t="s">
        <v>44</v>
      </c>
      <c r="C4" s="3" t="s">
        <v>133</v>
      </c>
      <c r="D4" s="3" t="s">
        <v>243</v>
      </c>
      <c r="E4" s="3" t="s">
        <v>35</v>
      </c>
      <c r="F4" s="122" t="s">
        <v>77</v>
      </c>
    </row>
    <row r="5" spans="1:6" s="2" customFormat="1" x14ac:dyDescent="0.2">
      <c r="A5" s="103" t="s">
        <v>89</v>
      </c>
      <c r="B5" s="19"/>
      <c r="C5" s="19"/>
      <c r="D5" s="19"/>
      <c r="E5" s="60">
        <f>'Page 1-Enrollment Plan'!E20</f>
        <v>761</v>
      </c>
      <c r="F5" s="132"/>
    </row>
    <row r="6" spans="1:6" s="2" customFormat="1" x14ac:dyDescent="0.2">
      <c r="A6" s="103" t="s">
        <v>59</v>
      </c>
      <c r="B6" s="19"/>
      <c r="C6" s="19"/>
      <c r="D6" s="19"/>
      <c r="E6" s="59">
        <f>'Page 1-Enrollment Plan'!E22</f>
        <v>761</v>
      </c>
      <c r="F6" s="133"/>
    </row>
    <row r="7" spans="1:6" s="2" customFormat="1" x14ac:dyDescent="0.2">
      <c r="A7" s="67" t="s">
        <v>37</v>
      </c>
      <c r="B7" s="19"/>
      <c r="C7" s="19"/>
      <c r="D7" s="19"/>
      <c r="E7" s="5"/>
      <c r="F7" s="133"/>
    </row>
    <row r="8" spans="1:6" x14ac:dyDescent="0.2">
      <c r="A8" s="104" t="s">
        <v>0</v>
      </c>
      <c r="B8" s="173"/>
      <c r="C8" s="173">
        <v>0</v>
      </c>
      <c r="D8" s="173"/>
      <c r="E8" s="72">
        <f t="shared" ref="E8:E27" si="0">SUM(B8:D8)</f>
        <v>0</v>
      </c>
      <c r="F8" s="128"/>
    </row>
    <row r="9" spans="1:6" x14ac:dyDescent="0.2">
      <c r="A9" s="104" t="s">
        <v>210</v>
      </c>
      <c r="B9" s="90">
        <f>'Page 1-Enrollment Plan'!E6*'Page 3-Assumptions'!F18</f>
        <v>0</v>
      </c>
      <c r="C9" s="173"/>
      <c r="D9" s="173"/>
      <c r="E9" s="72">
        <f>SUM(B9:D9)</f>
        <v>0</v>
      </c>
      <c r="F9" s="128"/>
    </row>
    <row r="10" spans="1:6" x14ac:dyDescent="0.2">
      <c r="A10" s="104" t="s">
        <v>453</v>
      </c>
      <c r="B10" s="90">
        <v>15000</v>
      </c>
      <c r="C10" s="173"/>
      <c r="D10" s="173"/>
      <c r="E10" s="72">
        <f t="shared" si="0"/>
        <v>15000</v>
      </c>
      <c r="F10" s="128"/>
    </row>
    <row r="11" spans="1:6" x14ac:dyDescent="0.2">
      <c r="A11" s="104" t="s">
        <v>1</v>
      </c>
      <c r="B11" s="173">
        <f>0.02*E82</f>
        <v>5975.4880212358385</v>
      </c>
      <c r="C11" s="173"/>
      <c r="D11" s="173"/>
      <c r="E11" s="72">
        <f t="shared" si="0"/>
        <v>5975.4880212358385</v>
      </c>
      <c r="F11" s="130"/>
    </row>
    <row r="12" spans="1:6" x14ac:dyDescent="0.2">
      <c r="A12" s="104" t="s">
        <v>195</v>
      </c>
      <c r="B12" s="173"/>
      <c r="C12" s="173"/>
      <c r="D12" s="173"/>
      <c r="E12" s="72">
        <f t="shared" si="0"/>
        <v>0</v>
      </c>
      <c r="F12" s="128"/>
    </row>
    <row r="13" spans="1:6" x14ac:dyDescent="0.2">
      <c r="A13" s="104" t="s">
        <v>444</v>
      </c>
      <c r="B13" s="173">
        <f>'Page 7-Year 3'!B13/'Page 7-Year 3'!E5*'Page 8-Year 4'!E5</f>
        <v>259957.01908396944</v>
      </c>
      <c r="C13" s="173"/>
      <c r="D13" s="173"/>
      <c r="E13" s="72">
        <f t="shared" si="0"/>
        <v>259957.01908396944</v>
      </c>
      <c r="F13" s="128"/>
    </row>
    <row r="14" spans="1:6" x14ac:dyDescent="0.2">
      <c r="A14" s="104" t="s">
        <v>3</v>
      </c>
      <c r="B14" s="173">
        <f>'Page 7-Year 3'!B14/'Page 1-Enrollment Plan'!D$20*'Page 1-Enrollment Plan'!E$20</f>
        <v>29045.801526717558</v>
      </c>
      <c r="C14" s="173"/>
      <c r="D14" s="173"/>
      <c r="E14" s="72">
        <f t="shared" si="0"/>
        <v>29045.801526717558</v>
      </c>
      <c r="F14" s="128"/>
    </row>
    <row r="15" spans="1:6" x14ac:dyDescent="0.2">
      <c r="A15" s="105" t="s">
        <v>4</v>
      </c>
      <c r="B15" s="173">
        <v>30000</v>
      </c>
      <c r="C15" s="173"/>
      <c r="D15" s="173"/>
      <c r="E15" s="72">
        <f t="shared" si="0"/>
        <v>30000</v>
      </c>
      <c r="F15" s="128"/>
    </row>
    <row r="16" spans="1:6" x14ac:dyDescent="0.2">
      <c r="A16" s="105" t="s">
        <v>5</v>
      </c>
      <c r="B16" s="90">
        <f>E5*'Page 3-Assumptions'!F7</f>
        <v>190250</v>
      </c>
      <c r="C16" s="173"/>
      <c r="D16" s="173"/>
      <c r="E16" s="72">
        <f t="shared" si="0"/>
        <v>190250</v>
      </c>
      <c r="F16" s="128"/>
    </row>
    <row r="17" spans="1:6" x14ac:dyDescent="0.2">
      <c r="A17" s="105" t="s">
        <v>232</v>
      </c>
      <c r="B17" s="90">
        <f>'Page 3-Assumptions'!F8</f>
        <v>83710</v>
      </c>
      <c r="C17" s="173"/>
      <c r="D17" s="173"/>
      <c r="E17" s="72">
        <f t="shared" si="0"/>
        <v>83710</v>
      </c>
      <c r="F17" s="128"/>
    </row>
    <row r="18" spans="1:6" ht="12.75" customHeight="1" x14ac:dyDescent="0.2">
      <c r="A18" s="104" t="s">
        <v>249</v>
      </c>
      <c r="B18" s="90"/>
      <c r="C18" s="90">
        <f>'Page 3-Assumptions'!$F$9</f>
        <v>3234.25</v>
      </c>
      <c r="D18" s="173"/>
      <c r="E18" s="72">
        <f t="shared" si="0"/>
        <v>3234.25</v>
      </c>
      <c r="F18" s="128"/>
    </row>
    <row r="19" spans="1:6" x14ac:dyDescent="0.2">
      <c r="A19" s="104" t="s">
        <v>188</v>
      </c>
      <c r="B19" s="90">
        <f>'Page 3-Assumptions'!F13</f>
        <v>1641.5</v>
      </c>
      <c r="C19" s="90"/>
      <c r="D19" s="90"/>
      <c r="E19" s="72">
        <f t="shared" si="0"/>
        <v>1641.5</v>
      </c>
      <c r="F19" s="128"/>
    </row>
    <row r="20" spans="1:6" x14ac:dyDescent="0.2">
      <c r="A20" s="104" t="s">
        <v>196</v>
      </c>
      <c r="B20" s="258"/>
      <c r="C20" s="173"/>
      <c r="D20" s="173"/>
      <c r="E20" s="72">
        <f t="shared" si="0"/>
        <v>0</v>
      </c>
      <c r="F20" s="128"/>
    </row>
    <row r="21" spans="1:6" x14ac:dyDescent="0.2">
      <c r="A21" s="118" t="s">
        <v>179</v>
      </c>
      <c r="B21" s="90"/>
      <c r="C21" s="90">
        <f>'Page 3-Assumptions'!$F$14</f>
        <v>73056</v>
      </c>
      <c r="D21" s="173"/>
      <c r="E21" s="72">
        <f t="shared" si="0"/>
        <v>73056</v>
      </c>
      <c r="F21" s="128"/>
    </row>
    <row r="22" spans="1:6" x14ac:dyDescent="0.2">
      <c r="A22" s="118" t="s">
        <v>233</v>
      </c>
      <c r="B22" s="90"/>
      <c r="C22" s="90">
        <f>'Page 3-Assumptions'!$F$15</f>
        <v>114150</v>
      </c>
      <c r="D22" s="173"/>
      <c r="E22" s="72">
        <f t="shared" si="0"/>
        <v>114150</v>
      </c>
      <c r="F22" s="128"/>
    </row>
    <row r="23" spans="1:6" x14ac:dyDescent="0.2">
      <c r="A23" s="118" t="s">
        <v>180</v>
      </c>
      <c r="B23" s="90"/>
      <c r="C23" s="90">
        <f>'Page 3-Assumptions'!$F$16</f>
        <v>2092.75</v>
      </c>
      <c r="D23" s="173"/>
      <c r="E23" s="72">
        <f t="shared" si="0"/>
        <v>2092.75</v>
      </c>
      <c r="F23" s="128"/>
    </row>
    <row r="24" spans="1:6" x14ac:dyDescent="0.2">
      <c r="A24" s="118" t="s">
        <v>197</v>
      </c>
      <c r="B24" s="173"/>
      <c r="C24" s="173"/>
      <c r="D24" s="173"/>
      <c r="E24" s="72">
        <f t="shared" si="0"/>
        <v>0</v>
      </c>
      <c r="F24" s="128"/>
    </row>
    <row r="25" spans="1:6" x14ac:dyDescent="0.2">
      <c r="A25" s="118" t="s">
        <v>181</v>
      </c>
      <c r="B25" s="90"/>
      <c r="C25" s="173"/>
      <c r="D25" s="173"/>
      <c r="E25" s="72">
        <f t="shared" si="0"/>
        <v>0</v>
      </c>
      <c r="F25" s="128"/>
    </row>
    <row r="26" spans="1:6" x14ac:dyDescent="0.2">
      <c r="A26" s="118" t="s">
        <v>131</v>
      </c>
      <c r="B26" s="90">
        <f>E6*'Page 3-Assumptions'!F5</f>
        <v>6531891.2999999998</v>
      </c>
      <c r="C26" s="173"/>
      <c r="D26" s="173"/>
      <c r="E26" s="72">
        <f t="shared" si="0"/>
        <v>6531891.2999999998</v>
      </c>
      <c r="F26" s="128"/>
    </row>
    <row r="27" spans="1:6" x14ac:dyDescent="0.2">
      <c r="A27" s="263" t="s">
        <v>182</v>
      </c>
      <c r="B27" s="141">
        <f>'Page 3-Assumptions'!F6</f>
        <v>0</v>
      </c>
      <c r="C27" s="141"/>
      <c r="D27" s="141"/>
      <c r="E27" s="72">
        <f t="shared" si="0"/>
        <v>0</v>
      </c>
      <c r="F27" s="128"/>
    </row>
    <row r="28" spans="1:6" x14ac:dyDescent="0.2">
      <c r="A28" s="219" t="s">
        <v>38</v>
      </c>
      <c r="B28" s="213">
        <f>SUM(B8:B27)</f>
        <v>7147471.1086319229</v>
      </c>
      <c r="C28" s="213">
        <f>SUM(C8:C27)</f>
        <v>192533</v>
      </c>
      <c r="D28" s="213">
        <f>SUM(D8:D27)</f>
        <v>0</v>
      </c>
      <c r="E28" s="213">
        <f>SUM(E8:E27)</f>
        <v>7340004.1086319229</v>
      </c>
      <c r="F28" s="128"/>
    </row>
    <row r="29" spans="1:6" x14ac:dyDescent="0.2">
      <c r="A29" s="123"/>
      <c r="B29" s="21"/>
      <c r="C29" s="21"/>
      <c r="D29" s="21"/>
      <c r="E29" s="4"/>
      <c r="F29" s="128"/>
    </row>
    <row r="30" spans="1:6" x14ac:dyDescent="0.2">
      <c r="A30" s="124" t="s">
        <v>39</v>
      </c>
      <c r="B30" s="89"/>
      <c r="C30" s="89"/>
      <c r="D30" s="89"/>
      <c r="E30" s="4"/>
      <c r="F30" s="128"/>
    </row>
    <row r="31" spans="1:6" x14ac:dyDescent="0.2">
      <c r="A31" s="125" t="s">
        <v>93</v>
      </c>
      <c r="B31" s="140">
        <f>'Page 2-Staffing Plan'!F32</f>
        <v>3351780</v>
      </c>
      <c r="C31" s="173">
        <f>('Page 2-Staffing Plan'!F19*'Page 2-Staffing Plan'!$I19+'Page 2-Staffing Plan'!F10*'Page 2-Staffing Plan'!$I10+'Page 2-Staffing Plan'!$I25)*('Page 2-Staffing Plan'!$I32+1)^3</f>
        <v>496645.34399999998</v>
      </c>
      <c r="D31" s="173"/>
      <c r="E31" s="72">
        <f t="shared" ref="E31:E72" si="1">SUM(B31:D31)</f>
        <v>3848425.344</v>
      </c>
      <c r="F31" s="128"/>
    </row>
    <row r="32" spans="1:6" x14ac:dyDescent="0.2">
      <c r="A32" s="125" t="s">
        <v>6</v>
      </c>
      <c r="B32" s="90">
        <f>('Page 3-Assumptions'!B33*'Page 3-Assumptions'!B34)*('Page 2-Staffing Plan'!F15)</f>
        <v>30720</v>
      </c>
      <c r="C32" s="173"/>
      <c r="D32" s="173"/>
      <c r="E32" s="72">
        <f t="shared" si="1"/>
        <v>30720</v>
      </c>
      <c r="F32" s="128"/>
    </row>
    <row r="33" spans="1:6" x14ac:dyDescent="0.2">
      <c r="A33" s="125" t="s">
        <v>7</v>
      </c>
      <c r="B33" s="90">
        <f>(B31+B32)*1.45%</f>
        <v>49046.25</v>
      </c>
      <c r="C33" s="90">
        <f>ROUND((C31+C32)*1.45%,0)</f>
        <v>7201</v>
      </c>
      <c r="D33" s="173"/>
      <c r="E33" s="72">
        <f t="shared" si="1"/>
        <v>56247.25</v>
      </c>
      <c r="F33" s="128"/>
    </row>
    <row r="34" spans="1:6" x14ac:dyDescent="0.2">
      <c r="A34" s="125" t="s">
        <v>8</v>
      </c>
      <c r="B34" s="90"/>
      <c r="C34" s="173"/>
      <c r="D34" s="173"/>
      <c r="E34" s="72">
        <f t="shared" si="1"/>
        <v>0</v>
      </c>
      <c r="F34" s="128"/>
    </row>
    <row r="35" spans="1:6" x14ac:dyDescent="0.2">
      <c r="A35" s="104" t="s">
        <v>189</v>
      </c>
      <c r="B35" s="90">
        <f>((E31+E32)*'Page 3-Assumptions'!F25)-C35</f>
        <v>691271.61335999996</v>
      </c>
      <c r="C35" s="202">
        <f>C31*'Page 3-Assumptions'!C25</f>
        <v>100074.03681600001</v>
      </c>
      <c r="D35" s="173"/>
      <c r="E35" s="72">
        <f t="shared" si="1"/>
        <v>791345.65017599997</v>
      </c>
      <c r="F35" s="128"/>
    </row>
    <row r="36" spans="1:6" x14ac:dyDescent="0.2">
      <c r="A36" s="125" t="s">
        <v>9</v>
      </c>
      <c r="B36" s="90">
        <f>('Page 3-Assumptions'!B35*1.05^4)*'Page 2-Staffing Plan'!F37</f>
        <v>243995.86259999999</v>
      </c>
      <c r="C36" s="173"/>
      <c r="D36" s="173"/>
      <c r="E36" s="72">
        <f t="shared" si="1"/>
        <v>243995.86259999999</v>
      </c>
      <c r="F36" s="128"/>
    </row>
    <row r="37" spans="1:6" x14ac:dyDescent="0.2">
      <c r="A37" s="125" t="s">
        <v>10</v>
      </c>
      <c r="B37" s="90">
        <f>('Page 3-Assumptions'!B36*1.02^3)*'Page 2-Staffing Plan'!F37</f>
        <v>11695.361126400001</v>
      </c>
      <c r="C37" s="173"/>
      <c r="D37" s="173"/>
      <c r="E37" s="72">
        <f t="shared" si="1"/>
        <v>11695.361126400001</v>
      </c>
      <c r="F37" s="128"/>
    </row>
    <row r="38" spans="1:6" x14ac:dyDescent="0.2">
      <c r="A38" s="125" t="s">
        <v>11</v>
      </c>
      <c r="B38" s="90">
        <f>'Page 3-Assumptions'!$B$37*'Page 2-Staffing Plan'!F37</f>
        <v>4100</v>
      </c>
      <c r="C38" s="173"/>
      <c r="D38" s="173"/>
      <c r="E38" s="72">
        <f t="shared" si="1"/>
        <v>4100</v>
      </c>
      <c r="F38" s="128"/>
    </row>
    <row r="39" spans="1:6" x14ac:dyDescent="0.2">
      <c r="A39" s="104" t="s">
        <v>194</v>
      </c>
      <c r="B39" s="90"/>
      <c r="C39" s="258"/>
      <c r="D39" s="173"/>
      <c r="E39" s="72">
        <f t="shared" si="1"/>
        <v>0</v>
      </c>
      <c r="F39" s="128"/>
    </row>
    <row r="40" spans="1:6" x14ac:dyDescent="0.2">
      <c r="A40" s="104" t="s">
        <v>119</v>
      </c>
      <c r="B40" s="90">
        <f>('Page 3-Assumptions'!$B$39*'Page 2-Staffing Plan'!F37)</f>
        <v>984</v>
      </c>
      <c r="C40" s="173"/>
      <c r="D40" s="173"/>
      <c r="E40" s="72">
        <f t="shared" si="1"/>
        <v>984</v>
      </c>
      <c r="F40" s="128"/>
    </row>
    <row r="41" spans="1:6" x14ac:dyDescent="0.2">
      <c r="A41" s="125" t="s">
        <v>12</v>
      </c>
      <c r="B41" s="90">
        <f>'Page 3-Assumptions'!F61-C41+104000</f>
        <v>113500</v>
      </c>
      <c r="C41" s="173">
        <f>'Page 3-Assumptions'!F56</f>
        <v>35796</v>
      </c>
      <c r="D41" s="175"/>
      <c r="E41" s="72">
        <f t="shared" si="1"/>
        <v>149296</v>
      </c>
      <c r="F41" s="128"/>
    </row>
    <row r="42" spans="1:6" x14ac:dyDescent="0.2">
      <c r="A42" s="104" t="s">
        <v>190</v>
      </c>
      <c r="B42" s="90">
        <f>E5*'Page 3-Assumptions'!$B$40*0.7</f>
        <v>23971.5</v>
      </c>
      <c r="C42" s="173"/>
      <c r="D42" s="173"/>
      <c r="E42" s="72">
        <f t="shared" si="1"/>
        <v>23971.5</v>
      </c>
      <c r="F42" s="128"/>
    </row>
    <row r="43" spans="1:6" x14ac:dyDescent="0.2">
      <c r="A43" s="125" t="s">
        <v>13</v>
      </c>
      <c r="B43" s="173">
        <f>'Page 7-Year 3'!B43*1.1</f>
        <v>12100.000000000002</v>
      </c>
      <c r="C43" s="173"/>
      <c r="D43" s="173"/>
      <c r="E43" s="72">
        <f t="shared" si="1"/>
        <v>12100.000000000002</v>
      </c>
      <c r="F43" s="128"/>
    </row>
    <row r="44" spans="1:6" x14ac:dyDescent="0.2">
      <c r="A44" s="125" t="s">
        <v>14</v>
      </c>
      <c r="B44" s="173">
        <f>'Page 7-Year 3'!B44*1.1</f>
        <v>4950</v>
      </c>
      <c r="C44" s="173"/>
      <c r="D44" s="173"/>
      <c r="E44" s="72">
        <f t="shared" si="1"/>
        <v>4950</v>
      </c>
      <c r="F44" s="128"/>
    </row>
    <row r="45" spans="1:6" x14ac:dyDescent="0.2">
      <c r="A45" s="125" t="s">
        <v>15</v>
      </c>
      <c r="B45" s="173">
        <f>'Page 7-Year 3'!B45*1.1</f>
        <v>58850.000000000007</v>
      </c>
      <c r="C45" s="173"/>
      <c r="D45" s="173"/>
      <c r="E45" s="72">
        <f t="shared" si="1"/>
        <v>58850.000000000007</v>
      </c>
      <c r="F45" s="128"/>
    </row>
    <row r="46" spans="1:6" x14ac:dyDescent="0.2">
      <c r="A46" s="125" t="s">
        <v>16</v>
      </c>
      <c r="B46" s="173">
        <f>'Page 7-Year 3'!B46*1.1</f>
        <v>31968.393600000007</v>
      </c>
      <c r="C46" s="173"/>
      <c r="D46" s="173"/>
      <c r="E46" s="72">
        <f t="shared" si="1"/>
        <v>31968.393600000007</v>
      </c>
      <c r="F46" s="128"/>
    </row>
    <row r="47" spans="1:6" x14ac:dyDescent="0.2">
      <c r="A47" s="104" t="s">
        <v>211</v>
      </c>
      <c r="B47" s="173">
        <f>'Page 7-Year 3'!B47*1.1*0.9</f>
        <v>167506.71300000005</v>
      </c>
      <c r="C47" s="258"/>
      <c r="D47" s="173"/>
      <c r="E47" s="72">
        <f>SUM(B47:D47)</f>
        <v>167506.71300000005</v>
      </c>
      <c r="F47" s="128"/>
    </row>
    <row r="48" spans="1:6" x14ac:dyDescent="0.2">
      <c r="A48" s="125" t="s">
        <v>17</v>
      </c>
      <c r="B48" s="173">
        <f>'Page 7-Year 3'!B48*1.1*0.9</f>
        <v>49399.980300000003</v>
      </c>
      <c r="C48" s="173"/>
      <c r="D48" s="173"/>
      <c r="E48" s="72">
        <f t="shared" si="1"/>
        <v>49399.980300000003</v>
      </c>
      <c r="F48" s="128"/>
    </row>
    <row r="49" spans="1:6" x14ac:dyDescent="0.2">
      <c r="A49" s="125" t="s">
        <v>18</v>
      </c>
      <c r="B49" s="173">
        <f>'Page 7-Year 3'!B49*2*0.75</f>
        <v>46800</v>
      </c>
      <c r="C49" s="173"/>
      <c r="D49" s="173"/>
      <c r="E49" s="72">
        <f t="shared" si="1"/>
        <v>46800</v>
      </c>
      <c r="F49" s="128"/>
    </row>
    <row r="50" spans="1:6" x14ac:dyDescent="0.2">
      <c r="A50" s="125" t="s">
        <v>19</v>
      </c>
      <c r="B50" s="90">
        <f>B26*0.2</f>
        <v>1306378.26</v>
      </c>
      <c r="C50" s="173"/>
      <c r="D50" s="173"/>
      <c r="E50" s="72">
        <f t="shared" si="1"/>
        <v>1306378.26</v>
      </c>
      <c r="F50" s="128"/>
    </row>
    <row r="51" spans="1:6" x14ac:dyDescent="0.2">
      <c r="A51" s="125" t="s">
        <v>20</v>
      </c>
      <c r="B51" s="90">
        <f>('Page 3-Assumptions'!$B$42+'Page 3-Assumptions'!$B$43)*'Page 1-Enrollment Plan'!E20</f>
        <v>15220</v>
      </c>
      <c r="C51" s="173"/>
      <c r="D51" s="173"/>
      <c r="E51" s="72">
        <f t="shared" si="1"/>
        <v>15220</v>
      </c>
      <c r="F51" s="128"/>
    </row>
    <row r="52" spans="1:6" x14ac:dyDescent="0.2">
      <c r="A52" s="104" t="s">
        <v>255</v>
      </c>
      <c r="B52" s="90">
        <v>47000</v>
      </c>
      <c r="C52" s="173"/>
      <c r="D52" s="173"/>
      <c r="E52" s="72">
        <f t="shared" si="1"/>
        <v>47000</v>
      </c>
      <c r="F52" s="128"/>
    </row>
    <row r="53" spans="1:6" x14ac:dyDescent="0.2">
      <c r="A53" s="125" t="s">
        <v>21</v>
      </c>
      <c r="B53" s="90">
        <f>'Page 3-Assumptions'!$F$28*(E31+E32)</f>
        <v>11637.436032</v>
      </c>
      <c r="C53" s="173"/>
      <c r="D53" s="173"/>
      <c r="E53" s="72">
        <f t="shared" si="1"/>
        <v>11637.436032</v>
      </c>
      <c r="F53" s="128"/>
    </row>
    <row r="54" spans="1:6" x14ac:dyDescent="0.2">
      <c r="A54" s="125" t="s">
        <v>22</v>
      </c>
      <c r="B54" s="90">
        <f>((E31+E32)/100)*0.75</f>
        <v>29093.590079999998</v>
      </c>
      <c r="C54" s="173"/>
      <c r="D54" s="173"/>
      <c r="E54" s="72">
        <f t="shared" si="1"/>
        <v>29093.590079999998</v>
      </c>
      <c r="F54" s="128"/>
    </row>
    <row r="55" spans="1:6" x14ac:dyDescent="0.2">
      <c r="A55" s="125" t="s">
        <v>23</v>
      </c>
      <c r="B55" s="173">
        <f>'Page 7-Year 3'!B55*1.1</f>
        <v>7840.800000000002</v>
      </c>
      <c r="C55" s="173"/>
      <c r="D55" s="173"/>
      <c r="E55" s="72">
        <f t="shared" si="1"/>
        <v>7840.800000000002</v>
      </c>
      <c r="F55" s="128"/>
    </row>
    <row r="56" spans="1:6" x14ac:dyDescent="0.2">
      <c r="A56" s="125" t="s">
        <v>24</v>
      </c>
      <c r="B56" s="90">
        <f>'Page 3-Assumptions'!$B$44*'Page 1-Enrollment Plan'!$E$20</f>
        <v>3805</v>
      </c>
      <c r="C56" s="173"/>
      <c r="D56" s="173"/>
      <c r="E56" s="72">
        <f t="shared" si="1"/>
        <v>3805</v>
      </c>
      <c r="F56" s="128"/>
    </row>
    <row r="57" spans="1:6" x14ac:dyDescent="0.2">
      <c r="A57" s="125" t="s">
        <v>42</v>
      </c>
      <c r="B57" s="90">
        <f>E5*'Page 3-Assumptions'!$B$45</f>
        <v>9512.5</v>
      </c>
      <c r="C57" s="173"/>
      <c r="D57" s="173"/>
      <c r="E57" s="72">
        <f t="shared" si="1"/>
        <v>9512.5</v>
      </c>
      <c r="F57" s="128"/>
    </row>
    <row r="58" spans="1:6" x14ac:dyDescent="0.2">
      <c r="A58" s="125" t="s">
        <v>25</v>
      </c>
      <c r="B58" s="90">
        <f>'Page 2-Staffing Plan'!F37*'Page 3-Assumptions'!$B$38</f>
        <v>4100</v>
      </c>
      <c r="C58" s="173"/>
      <c r="D58" s="176"/>
      <c r="E58" s="72">
        <f t="shared" si="1"/>
        <v>4100</v>
      </c>
      <c r="F58" s="128" t="s">
        <v>76</v>
      </c>
    </row>
    <row r="59" spans="1:6" x14ac:dyDescent="0.2">
      <c r="A59" s="104" t="s">
        <v>193</v>
      </c>
      <c r="B59" s="90">
        <f>E26*'Page 3-Assumptions'!F23</f>
        <v>195956.739</v>
      </c>
      <c r="C59" s="173"/>
      <c r="D59" s="173"/>
      <c r="E59" s="72">
        <f t="shared" si="1"/>
        <v>195956.739</v>
      </c>
      <c r="F59" s="128"/>
    </row>
    <row r="60" spans="1:6" x14ac:dyDescent="0.2">
      <c r="A60" s="104" t="s">
        <v>192</v>
      </c>
      <c r="B60" s="90">
        <f>B26*'Page 3-Assumptions'!F24</f>
        <v>65318.913</v>
      </c>
      <c r="C60" s="173"/>
      <c r="D60" s="173"/>
      <c r="E60" s="72">
        <f t="shared" si="1"/>
        <v>65318.913</v>
      </c>
      <c r="F60" s="128"/>
    </row>
    <row r="61" spans="1:6" x14ac:dyDescent="0.2">
      <c r="A61" s="125" t="s">
        <v>26</v>
      </c>
      <c r="B61" s="90">
        <f>'Page 3-Assumptions'!$B$46*'Page 1-Enrollment Plan'!$E$20*0.8</f>
        <v>36528</v>
      </c>
      <c r="C61" s="173"/>
      <c r="D61" s="173"/>
      <c r="E61" s="72">
        <f t="shared" si="1"/>
        <v>36528</v>
      </c>
      <c r="F61" s="128"/>
    </row>
    <row r="62" spans="1:6" x14ac:dyDescent="0.2">
      <c r="A62" s="125" t="s">
        <v>27</v>
      </c>
      <c r="B62" s="90">
        <f>E5*'Page 3-Assumptions'!$B$47</f>
        <v>11415</v>
      </c>
      <c r="C62" s="173"/>
      <c r="D62" s="173"/>
      <c r="E62" s="72">
        <f t="shared" si="1"/>
        <v>11415</v>
      </c>
      <c r="F62" s="128"/>
    </row>
    <row r="63" spans="1:6" x14ac:dyDescent="0.2">
      <c r="A63" s="125" t="s">
        <v>41</v>
      </c>
      <c r="B63" s="90">
        <f>E5*'Page 3-Assumptions'!$B$48</f>
        <v>7610</v>
      </c>
      <c r="C63" s="173"/>
      <c r="D63" s="173"/>
      <c r="E63" s="72">
        <f t="shared" si="1"/>
        <v>7610</v>
      </c>
      <c r="F63" s="128"/>
    </row>
    <row r="64" spans="1:6" x14ac:dyDescent="0.2">
      <c r="A64" s="125" t="s">
        <v>28</v>
      </c>
      <c r="B64" s="258">
        <f>624*('Page 1-Enrollment Plan'!D$20-'Page 1-Enrollment Plan'!C$20)</f>
        <v>50544</v>
      </c>
      <c r="C64" s="173"/>
      <c r="D64" s="176"/>
      <c r="E64" s="72">
        <f t="shared" si="1"/>
        <v>50544</v>
      </c>
      <c r="F64" s="128"/>
    </row>
    <row r="65" spans="1:6" x14ac:dyDescent="0.2">
      <c r="A65" s="125" t="s">
        <v>29</v>
      </c>
      <c r="B65" s="258">
        <f>'Page 7-Year 3'!$B65*1.1</f>
        <v>1650.0000000000002</v>
      </c>
      <c r="C65" s="173"/>
      <c r="D65" s="173"/>
      <c r="E65" s="72">
        <f t="shared" si="1"/>
        <v>1650.0000000000002</v>
      </c>
      <c r="F65" s="128"/>
    </row>
    <row r="66" spans="1:6" x14ac:dyDescent="0.2">
      <c r="A66" s="104" t="s">
        <v>191</v>
      </c>
      <c r="B66" s="258">
        <f>'Page 7-Year 3'!$B66*1.5</f>
        <v>0</v>
      </c>
      <c r="C66" s="173"/>
      <c r="D66" s="173"/>
      <c r="E66" s="72">
        <f t="shared" si="1"/>
        <v>0</v>
      </c>
      <c r="F66" s="128"/>
    </row>
    <row r="67" spans="1:6" x14ac:dyDescent="0.2">
      <c r="A67" s="125" t="s">
        <v>30</v>
      </c>
      <c r="B67" s="258">
        <v>20000</v>
      </c>
      <c r="C67" s="173"/>
      <c r="D67" s="173"/>
      <c r="E67" s="72">
        <f t="shared" si="1"/>
        <v>20000</v>
      </c>
      <c r="F67" s="128"/>
    </row>
    <row r="68" spans="1:6" x14ac:dyDescent="0.2">
      <c r="A68" s="125" t="s">
        <v>31</v>
      </c>
      <c r="B68" s="258">
        <f>('Page 1-Enrollment Plan'!C$20-'Page 1-Enrollment Plan'!B$20)*180+('Page 2-Staffing Plan'!D$37-'Page 2-Staffing Plan'!C$37)*500+3500</f>
        <v>-10800</v>
      </c>
      <c r="C68" s="173"/>
      <c r="D68" s="173"/>
      <c r="E68" s="72">
        <f t="shared" si="1"/>
        <v>-10800</v>
      </c>
      <c r="F68" s="128"/>
    </row>
    <row r="69" spans="1:6" x14ac:dyDescent="0.2">
      <c r="A69" s="125" t="s">
        <v>32</v>
      </c>
      <c r="B69" s="90">
        <f>'Page 3-Assumptions'!$B$49*'Page 1-Enrollment Plan'!E20</f>
        <v>15220</v>
      </c>
      <c r="C69" s="173"/>
      <c r="D69" s="173"/>
      <c r="E69" s="72">
        <f t="shared" si="1"/>
        <v>15220</v>
      </c>
      <c r="F69" s="128"/>
    </row>
    <row r="70" spans="1:6" x14ac:dyDescent="0.2">
      <c r="A70" s="125" t="s">
        <v>43</v>
      </c>
      <c r="B70" s="173"/>
      <c r="C70" s="173"/>
      <c r="D70" s="173"/>
      <c r="E70" s="72">
        <f t="shared" si="1"/>
        <v>0</v>
      </c>
      <c r="F70" s="128"/>
    </row>
    <row r="71" spans="1:6" x14ac:dyDescent="0.2">
      <c r="A71" s="125" t="s">
        <v>33</v>
      </c>
      <c r="B71" s="258">
        <f>'Page 7-Year 3'!$B71*('Page 1-Enrollment Plan'!E$20/'Page 1-Enrollment Plan'!D$20)</f>
        <v>7547.1074380165292</v>
      </c>
      <c r="C71" s="173"/>
      <c r="D71" s="173"/>
      <c r="E71" s="72">
        <f t="shared" si="1"/>
        <v>7547.1074380165292</v>
      </c>
      <c r="F71" s="128"/>
    </row>
    <row r="72" spans="1:6" x14ac:dyDescent="0.2">
      <c r="A72" s="104" t="s">
        <v>34</v>
      </c>
      <c r="B72" s="258">
        <f>'Page 7-Year 3'!$B72*('Page 1-Enrollment Plan'!C$20/'Page 1-Enrollment Plan'!B$20)</f>
        <v>0</v>
      </c>
      <c r="C72" s="175"/>
      <c r="D72" s="175"/>
      <c r="E72" s="72">
        <f t="shared" si="1"/>
        <v>0</v>
      </c>
      <c r="F72" s="128"/>
    </row>
    <row r="73" spans="1:6" x14ac:dyDescent="0.2">
      <c r="A73" s="218" t="s">
        <v>40</v>
      </c>
      <c r="B73" s="213">
        <f>SUM(B31:B72)</f>
        <v>6728217.019536416</v>
      </c>
      <c r="C73" s="213">
        <f>SUM(C31:C72)</f>
        <v>639716.38081600005</v>
      </c>
      <c r="D73" s="213">
        <f>SUM(D31:D72)</f>
        <v>0</v>
      </c>
      <c r="E73" s="213">
        <f>SUM(E31:E72)</f>
        <v>7367933.4003524166</v>
      </c>
      <c r="F73" s="128"/>
    </row>
    <row r="74" spans="1:6" x14ac:dyDescent="0.2">
      <c r="A74" s="126"/>
      <c r="B74" s="21"/>
      <c r="C74" s="21"/>
      <c r="D74" s="21"/>
      <c r="E74" s="4"/>
      <c r="F74" s="128"/>
    </row>
    <row r="75" spans="1:6" x14ac:dyDescent="0.2">
      <c r="A75" s="219" t="s">
        <v>82</v>
      </c>
      <c r="B75" s="213">
        <f>B28-B73</f>
        <v>419254.08909550682</v>
      </c>
      <c r="C75" s="213">
        <f>C28-C73</f>
        <v>-447183.38081600005</v>
      </c>
      <c r="D75" s="213">
        <f>D28-D73</f>
        <v>0</v>
      </c>
      <c r="E75" s="213">
        <f>E28-E73</f>
        <v>-27929.291720493697</v>
      </c>
      <c r="F75" s="128"/>
    </row>
    <row r="76" spans="1:6" x14ac:dyDescent="0.2">
      <c r="A76" s="110"/>
      <c r="B76" s="21"/>
      <c r="C76" s="21"/>
      <c r="D76" s="21"/>
      <c r="E76" s="4"/>
      <c r="F76" s="128"/>
    </row>
    <row r="77" spans="1:6" x14ac:dyDescent="0.2">
      <c r="A77" s="109" t="s">
        <v>175</v>
      </c>
      <c r="B77" s="21"/>
      <c r="C77" s="21"/>
      <c r="D77" s="24"/>
      <c r="E77" s="4"/>
      <c r="F77" s="128"/>
    </row>
    <row r="78" spans="1:6" x14ac:dyDescent="0.2">
      <c r="A78" s="232" t="s">
        <v>187</v>
      </c>
      <c r="B78" s="21">
        <v>0</v>
      </c>
      <c r="C78" s="21"/>
      <c r="D78" s="24"/>
      <c r="E78" s="4">
        <f>B78+C78+D78</f>
        <v>0</v>
      </c>
      <c r="F78" s="128"/>
    </row>
    <row r="79" spans="1:6" x14ac:dyDescent="0.2">
      <c r="A79" s="111" t="s">
        <v>136</v>
      </c>
      <c r="B79" s="231">
        <f>-(3%*(B28-((SUM(B15:B21)))))+'Page 7-Year 3'!E84</f>
        <v>-45181.064022316452</v>
      </c>
      <c r="C79" s="21"/>
      <c r="D79" s="21"/>
      <c r="E79" s="4">
        <f>SUM(B79:D79)</f>
        <v>-45181.064022316452</v>
      </c>
      <c r="F79" s="128"/>
    </row>
    <row r="80" spans="1:6" x14ac:dyDescent="0.2">
      <c r="A80" s="218" t="s">
        <v>45</v>
      </c>
      <c r="B80" s="221">
        <f>SUM(B75:B79)</f>
        <v>374073.02507319034</v>
      </c>
      <c r="C80" s="221">
        <f>SUM(C75:C79)</f>
        <v>-447183.38081600005</v>
      </c>
      <c r="D80" s="221">
        <f>SUM(D75:D79)</f>
        <v>0</v>
      </c>
      <c r="E80" s="221">
        <f>SUM(E75:E79)</f>
        <v>-73110.355742810149</v>
      </c>
      <c r="F80" s="128"/>
    </row>
    <row r="81" spans="1:6" ht="15" x14ac:dyDescent="0.25">
      <c r="A81" s="119"/>
      <c r="B81" s="80"/>
      <c r="C81" s="80"/>
      <c r="D81" s="80"/>
      <c r="E81" s="120"/>
      <c r="F81" s="128"/>
    </row>
    <row r="82" spans="1:6" x14ac:dyDescent="0.2">
      <c r="A82" s="110" t="s">
        <v>95</v>
      </c>
      <c r="B82" s="14"/>
      <c r="C82" s="14"/>
      <c r="D82" s="14"/>
      <c r="E82" s="28">
        <f>'Page 7-Year 3'!E83</f>
        <v>298774.40106179193</v>
      </c>
      <c r="F82" s="128"/>
    </row>
    <row r="83" spans="1:6" x14ac:dyDescent="0.2">
      <c r="A83" s="110" t="s">
        <v>96</v>
      </c>
      <c r="B83" s="14"/>
      <c r="C83" s="14"/>
      <c r="D83" s="14"/>
      <c r="E83" s="28">
        <f>E75+E78+E82</f>
        <v>270845.10934129823</v>
      </c>
      <c r="F83" s="128"/>
    </row>
    <row r="84" spans="1:6" x14ac:dyDescent="0.2">
      <c r="A84" s="111" t="s">
        <v>97</v>
      </c>
      <c r="B84" s="14"/>
      <c r="C84" s="14"/>
      <c r="D84" s="14"/>
      <c r="E84" s="24">
        <f>'Page 7-Year 3'!E84-E79</f>
        <v>205256.08825895766</v>
      </c>
      <c r="F84" s="130"/>
    </row>
    <row r="85" spans="1:6" x14ac:dyDescent="0.2">
      <c r="A85" s="111" t="s">
        <v>98</v>
      </c>
      <c r="B85" s="14"/>
      <c r="C85" s="14"/>
      <c r="D85" s="14"/>
      <c r="E85" s="24">
        <f>E83-E84</f>
        <v>65589.021082340565</v>
      </c>
      <c r="F85" s="130"/>
    </row>
    <row r="86" spans="1:6" x14ac:dyDescent="0.2">
      <c r="A86" s="112" t="s">
        <v>99</v>
      </c>
      <c r="B86" s="14"/>
      <c r="C86" s="14"/>
      <c r="D86" s="14"/>
      <c r="E86" s="113">
        <f>E85/E73</f>
        <v>8.9019562906477098E-3</v>
      </c>
      <c r="F86" s="130"/>
    </row>
    <row r="87" spans="1:6" x14ac:dyDescent="0.2">
      <c r="A87" s="117"/>
      <c r="B87" s="68"/>
      <c r="C87" s="68"/>
      <c r="D87" s="68"/>
      <c r="E87" s="69"/>
      <c r="F87" s="131"/>
    </row>
  </sheetData>
  <mergeCells count="1">
    <mergeCell ref="B3:E3"/>
  </mergeCells>
  <phoneticPr fontId="2" type="noConversion"/>
  <printOptions horizontalCentered="1"/>
  <pageMargins left="0.25" right="0.25" top="0.42" bottom="0.69" header="0.25" footer="0.73"/>
  <pageSetup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87"/>
  <sheetViews>
    <sheetView view="pageBreakPreview" topLeftCell="A33" zoomScaleNormal="80" zoomScaleSheetLayoutView="100" workbookViewId="0">
      <selection activeCell="B42" sqref="B42"/>
    </sheetView>
  </sheetViews>
  <sheetFormatPr defaultColWidth="11.42578125" defaultRowHeight="12.75" x14ac:dyDescent="0.2"/>
  <cols>
    <col min="1" max="1" width="37.140625" style="1" customWidth="1"/>
    <col min="2" max="2" width="13.5703125" style="1" bestFit="1" customWidth="1"/>
    <col min="3" max="5" width="12.7109375" style="1" customWidth="1"/>
    <col min="6" max="6" width="45.7109375" style="48" customWidth="1"/>
    <col min="7" max="7" width="11.42578125" style="1" customWidth="1"/>
    <col min="8" max="8" width="12" style="1" bestFit="1" customWidth="1"/>
    <col min="9" max="16384" width="11.42578125" style="1"/>
  </cols>
  <sheetData>
    <row r="1" spans="1:6" ht="18.75" x14ac:dyDescent="0.3">
      <c r="A1" s="99" t="str">
        <f>'Page 3-Assumptions'!A1</f>
        <v>Colorado Military Academy</v>
      </c>
      <c r="B1" s="100"/>
      <c r="C1" s="100"/>
      <c r="D1" s="100"/>
      <c r="E1" s="64"/>
      <c r="F1" s="136" t="s">
        <v>186</v>
      </c>
    </row>
    <row r="2" spans="1:6" ht="18.75" x14ac:dyDescent="0.3">
      <c r="A2" s="101" t="str">
        <f>B3</f>
        <v>YEAR 5</v>
      </c>
      <c r="B2" s="14"/>
      <c r="C2" s="14"/>
      <c r="D2" s="14"/>
      <c r="E2" s="66"/>
      <c r="F2" s="114"/>
    </row>
    <row r="3" spans="1:6" s="2" customFormat="1" x14ac:dyDescent="0.2">
      <c r="A3" s="102"/>
      <c r="B3" s="391" t="str">
        <f>'Page 10-6 yr Budget-detail'!G4</f>
        <v>YEAR 5</v>
      </c>
      <c r="C3" s="392"/>
      <c r="D3" s="392"/>
      <c r="E3" s="393"/>
      <c r="F3" s="121"/>
    </row>
    <row r="4" spans="1:6" s="2" customFormat="1" ht="25.5" x14ac:dyDescent="0.2">
      <c r="A4" s="67"/>
      <c r="B4" s="3" t="s">
        <v>44</v>
      </c>
      <c r="C4" s="3" t="s">
        <v>133</v>
      </c>
      <c r="D4" s="3" t="s">
        <v>243</v>
      </c>
      <c r="E4" s="3" t="s">
        <v>35</v>
      </c>
      <c r="F4" s="122" t="s">
        <v>77</v>
      </c>
    </row>
    <row r="5" spans="1:6" s="2" customFormat="1" x14ac:dyDescent="0.2">
      <c r="A5" s="103" t="s">
        <v>89</v>
      </c>
      <c r="B5" s="19"/>
      <c r="C5" s="19"/>
      <c r="D5" s="19"/>
      <c r="E5" s="60">
        <f>'Page 1-Enrollment Plan'!F20</f>
        <v>777</v>
      </c>
      <c r="F5" s="44"/>
    </row>
    <row r="6" spans="1:6" s="2" customFormat="1" x14ac:dyDescent="0.2">
      <c r="A6" s="103" t="s">
        <v>59</v>
      </c>
      <c r="B6" s="19"/>
      <c r="C6" s="19"/>
      <c r="D6" s="19"/>
      <c r="E6" s="59">
        <f>'Page 1-Enrollment Plan'!F22</f>
        <v>777</v>
      </c>
      <c r="F6" s="127"/>
    </row>
    <row r="7" spans="1:6" s="2" customFormat="1" x14ac:dyDescent="0.2">
      <c r="A7" s="67" t="s">
        <v>37</v>
      </c>
      <c r="B7" s="19"/>
      <c r="C7" s="19"/>
      <c r="D7" s="19"/>
      <c r="E7" s="5"/>
      <c r="F7" s="127"/>
    </row>
    <row r="8" spans="1:6" x14ac:dyDescent="0.2">
      <c r="A8" s="104" t="s">
        <v>0</v>
      </c>
      <c r="B8" s="173"/>
      <c r="C8" s="173">
        <v>0</v>
      </c>
      <c r="D8" s="135"/>
      <c r="E8" s="72">
        <f t="shared" ref="E8:E27" si="0">SUM(B8:D8)</f>
        <v>0</v>
      </c>
      <c r="F8" s="128"/>
    </row>
    <row r="9" spans="1:6" x14ac:dyDescent="0.2">
      <c r="A9" s="104" t="s">
        <v>210</v>
      </c>
      <c r="B9" s="90">
        <f>'Page 1-Enrollment Plan'!F6*'Page 3-Assumptions'!G18</f>
        <v>0</v>
      </c>
      <c r="C9" s="135"/>
      <c r="D9" s="135"/>
      <c r="E9" s="72">
        <f>SUM(B9:D9)</f>
        <v>0</v>
      </c>
      <c r="F9" s="128"/>
    </row>
    <row r="10" spans="1:6" x14ac:dyDescent="0.2">
      <c r="A10" s="104" t="s">
        <v>453</v>
      </c>
      <c r="B10" s="90">
        <v>16000</v>
      </c>
      <c r="C10" s="135"/>
      <c r="D10" s="135"/>
      <c r="E10" s="72">
        <f t="shared" si="0"/>
        <v>16000</v>
      </c>
      <c r="F10" s="128"/>
    </row>
    <row r="11" spans="1:6" x14ac:dyDescent="0.2">
      <c r="A11" s="104" t="s">
        <v>1</v>
      </c>
      <c r="B11" s="173">
        <f>0.02*E82</f>
        <v>5416.9021868259651</v>
      </c>
      <c r="C11" s="135"/>
      <c r="D11" s="135"/>
      <c r="E11" s="72">
        <f t="shared" si="0"/>
        <v>5416.9021868259651</v>
      </c>
      <c r="F11" s="128"/>
    </row>
    <row r="12" spans="1:6" x14ac:dyDescent="0.2">
      <c r="A12" s="104" t="s">
        <v>195</v>
      </c>
      <c r="B12" s="173"/>
      <c r="C12" s="135"/>
      <c r="D12" s="135"/>
      <c r="E12" s="72">
        <f t="shared" si="0"/>
        <v>0</v>
      </c>
      <c r="F12" s="128"/>
    </row>
    <row r="13" spans="1:6" x14ac:dyDescent="0.2">
      <c r="A13" s="104" t="s">
        <v>444</v>
      </c>
      <c r="B13" s="373">
        <f>'Page 8-Year 4'!B13/'Page 8-Year 4'!E5*'Page 9-Year 5'!E5</f>
        <v>265422.60687022901</v>
      </c>
      <c r="C13" s="135"/>
      <c r="D13" s="135"/>
      <c r="E13" s="72">
        <f t="shared" si="0"/>
        <v>265422.60687022901</v>
      </c>
      <c r="F13" s="128"/>
    </row>
    <row r="14" spans="1:6" x14ac:dyDescent="0.2">
      <c r="A14" s="104" t="s">
        <v>3</v>
      </c>
      <c r="B14" s="173">
        <f>'Page 8-Year 4'!B14/'Page 1-Enrollment Plan'!E$20*'Page 1-Enrollment Plan'!F$20</f>
        <v>29656.488549618323</v>
      </c>
      <c r="C14" s="135"/>
      <c r="D14" s="135"/>
      <c r="E14" s="72">
        <f t="shared" si="0"/>
        <v>29656.488549618323</v>
      </c>
      <c r="F14" s="128"/>
    </row>
    <row r="15" spans="1:6" x14ac:dyDescent="0.2">
      <c r="A15" s="105" t="s">
        <v>4</v>
      </c>
      <c r="B15" s="173">
        <f>ROUND('Page 8-Year 4'!B15/'Page 1-Enrollment Plan'!E$20*'Page 1-Enrollment Plan'!F$20,-3)</f>
        <v>31000</v>
      </c>
      <c r="C15" s="135"/>
      <c r="D15" s="135"/>
      <c r="E15" s="72">
        <f t="shared" si="0"/>
        <v>31000</v>
      </c>
      <c r="F15" s="128"/>
    </row>
    <row r="16" spans="1:6" x14ac:dyDescent="0.2">
      <c r="A16" s="105" t="s">
        <v>5</v>
      </c>
      <c r="B16" s="90">
        <f>E5*'Page 3-Assumptions'!G7</f>
        <v>194250</v>
      </c>
      <c r="C16" s="135"/>
      <c r="D16" s="135"/>
      <c r="E16" s="72">
        <f t="shared" si="0"/>
        <v>194250</v>
      </c>
      <c r="F16" s="128"/>
    </row>
    <row r="17" spans="1:6" x14ac:dyDescent="0.2">
      <c r="A17" s="105" t="s">
        <v>232</v>
      </c>
      <c r="B17" s="90">
        <f>'Page 3-Assumptions'!G8</f>
        <v>85470</v>
      </c>
      <c r="C17" s="135"/>
      <c r="D17" s="135"/>
      <c r="E17" s="72">
        <f t="shared" si="0"/>
        <v>85470</v>
      </c>
      <c r="F17" s="128"/>
    </row>
    <row r="18" spans="1:6" ht="12.75" customHeight="1" x14ac:dyDescent="0.2">
      <c r="A18" s="104" t="s">
        <v>249</v>
      </c>
      <c r="B18" s="90"/>
      <c r="C18" s="90">
        <f>'Page 3-Assumptions'!$G$9</f>
        <v>3302.25</v>
      </c>
      <c r="D18" s="135"/>
      <c r="E18" s="72">
        <f t="shared" si="0"/>
        <v>3302.25</v>
      </c>
      <c r="F18" s="128"/>
    </row>
    <row r="19" spans="1:6" x14ac:dyDescent="0.2">
      <c r="A19" s="104" t="s">
        <v>188</v>
      </c>
      <c r="B19" s="90">
        <f>'Page 3-Assumptions'!G13</f>
        <v>1665.5</v>
      </c>
      <c r="C19" s="135"/>
      <c r="D19" s="135"/>
      <c r="E19" s="72">
        <f t="shared" si="0"/>
        <v>1665.5</v>
      </c>
      <c r="F19" s="128"/>
    </row>
    <row r="20" spans="1:6" x14ac:dyDescent="0.2">
      <c r="A20" s="104" t="s">
        <v>196</v>
      </c>
      <c r="B20" s="258"/>
      <c r="C20" s="135"/>
      <c r="D20" s="135"/>
      <c r="E20" s="72">
        <f t="shared" si="0"/>
        <v>0</v>
      </c>
      <c r="F20" s="128"/>
    </row>
    <row r="21" spans="1:6" x14ac:dyDescent="0.2">
      <c r="A21" s="104" t="s">
        <v>179</v>
      </c>
      <c r="B21" s="90"/>
      <c r="C21" s="90">
        <f>'Page 3-Assumptions'!$G$14</f>
        <v>74592</v>
      </c>
      <c r="D21" s="135"/>
      <c r="E21" s="72">
        <f t="shared" si="0"/>
        <v>74592</v>
      </c>
      <c r="F21" s="128"/>
    </row>
    <row r="22" spans="1:6" x14ac:dyDescent="0.2">
      <c r="A22" s="104" t="s">
        <v>233</v>
      </c>
      <c r="B22" s="90"/>
      <c r="C22" s="90">
        <f>'Page 3-Assumptions'!$G$15</f>
        <v>116550</v>
      </c>
      <c r="D22" s="135"/>
      <c r="E22" s="72">
        <f t="shared" si="0"/>
        <v>116550</v>
      </c>
      <c r="F22" s="128"/>
    </row>
    <row r="23" spans="1:6" x14ac:dyDescent="0.2">
      <c r="A23" s="104" t="s">
        <v>180</v>
      </c>
      <c r="B23" s="90"/>
      <c r="C23" s="90">
        <f>'Page 3-Assumptions'!$G$16</f>
        <v>2136.75</v>
      </c>
      <c r="D23" s="135"/>
      <c r="E23" s="72">
        <f t="shared" si="0"/>
        <v>2136.75</v>
      </c>
      <c r="F23" s="128"/>
    </row>
    <row r="24" spans="1:6" x14ac:dyDescent="0.2">
      <c r="A24" s="118" t="s">
        <v>197</v>
      </c>
      <c r="B24" s="173"/>
      <c r="C24" s="135"/>
      <c r="D24" s="135"/>
      <c r="E24" s="72">
        <f t="shared" si="0"/>
        <v>0</v>
      </c>
      <c r="F24" s="128"/>
    </row>
    <row r="25" spans="1:6" x14ac:dyDescent="0.2">
      <c r="A25" s="118" t="s">
        <v>181</v>
      </c>
      <c r="B25" s="90"/>
      <c r="C25" s="135"/>
      <c r="D25" s="135"/>
      <c r="E25" s="72">
        <f t="shared" si="0"/>
        <v>0</v>
      </c>
      <c r="F25" s="128"/>
    </row>
    <row r="26" spans="1:6" x14ac:dyDescent="0.2">
      <c r="A26" s="118" t="s">
        <v>131</v>
      </c>
      <c r="B26" s="90">
        <f>E6*'Page 3-Assumptions'!G5</f>
        <v>6802608.5819999985</v>
      </c>
      <c r="C26" s="135"/>
      <c r="D26" s="135"/>
      <c r="E26" s="72">
        <f t="shared" si="0"/>
        <v>6802608.5819999985</v>
      </c>
      <c r="F26" s="128"/>
    </row>
    <row r="27" spans="1:6" x14ac:dyDescent="0.2">
      <c r="A27" s="263" t="s">
        <v>182</v>
      </c>
      <c r="B27" s="141">
        <f>'Page 3-Assumptions'!G6</f>
        <v>0</v>
      </c>
      <c r="C27" s="135"/>
      <c r="D27" s="135"/>
      <c r="E27" s="72">
        <f t="shared" si="0"/>
        <v>0</v>
      </c>
      <c r="F27" s="128"/>
    </row>
    <row r="28" spans="1:6" x14ac:dyDescent="0.2">
      <c r="A28" s="218" t="s">
        <v>38</v>
      </c>
      <c r="B28" s="213">
        <f>SUM(B8:B27)</f>
        <v>7431490.0796066718</v>
      </c>
      <c r="C28" s="213">
        <f>SUM(C8:C27)</f>
        <v>196581</v>
      </c>
      <c r="D28" s="213">
        <f>SUM(D8:D27)</f>
        <v>0</v>
      </c>
      <c r="E28" s="213">
        <f>SUM(E8:E27)</f>
        <v>7628071.0796066718</v>
      </c>
      <c r="F28" s="128"/>
    </row>
    <row r="29" spans="1:6" x14ac:dyDescent="0.2">
      <c r="A29" s="123"/>
      <c r="B29" s="21"/>
      <c r="C29" s="21"/>
      <c r="D29" s="21"/>
      <c r="E29" s="4"/>
      <c r="F29" s="128"/>
    </row>
    <row r="30" spans="1:6" x14ac:dyDescent="0.2">
      <c r="A30" s="124" t="s">
        <v>39</v>
      </c>
      <c r="B30" s="21"/>
      <c r="C30" s="21"/>
      <c r="D30" s="21"/>
      <c r="E30" s="4"/>
      <c r="F30" s="128"/>
    </row>
    <row r="31" spans="1:6" x14ac:dyDescent="0.2">
      <c r="A31" s="125" t="s">
        <v>93</v>
      </c>
      <c r="B31" s="90">
        <f>'Page 2-Staffing Plan'!G32</f>
        <v>3453450.0000000005</v>
      </c>
      <c r="C31" s="173">
        <f>('Page 2-Staffing Plan'!G19*'Page 2-Staffing Plan'!$I19+'Page 2-Staffing Plan'!G10*'Page 2-Staffing Plan'!$I10+'Page 2-Staffing Plan'!$I25)*('Page 2-Staffing Plan'!$I32+1)^4</f>
        <v>506578.25088000001</v>
      </c>
      <c r="D31" s="135"/>
      <c r="E31" s="72">
        <f t="shared" ref="E31:E72" si="1">SUM(B31:D31)</f>
        <v>3960028.2508800006</v>
      </c>
      <c r="F31" s="128"/>
    </row>
    <row r="32" spans="1:6" x14ac:dyDescent="0.2">
      <c r="A32" s="125" t="s">
        <v>90</v>
      </c>
      <c r="B32" s="90">
        <f>('Page 3-Assumptions'!$B$33*'Page 3-Assumptions'!$B$34)*('Page 2-Staffing Plan'!$G$15)</f>
        <v>30720</v>
      </c>
      <c r="C32" s="173"/>
      <c r="D32" s="135"/>
      <c r="E32" s="72">
        <f t="shared" si="1"/>
        <v>30720</v>
      </c>
      <c r="F32" s="128"/>
    </row>
    <row r="33" spans="1:8" x14ac:dyDescent="0.2">
      <c r="A33" s="125" t="s">
        <v>7</v>
      </c>
      <c r="B33" s="90">
        <f>(B31+B32)*1.45%</f>
        <v>50520.465000000004</v>
      </c>
      <c r="C33" s="90">
        <f>ROUND((C31+C32)*1.45%,0)</f>
        <v>7345</v>
      </c>
      <c r="D33" s="135"/>
      <c r="E33" s="72">
        <f t="shared" si="1"/>
        <v>57865.465000000004</v>
      </c>
      <c r="F33" s="128"/>
    </row>
    <row r="34" spans="1:8" x14ac:dyDescent="0.2">
      <c r="A34" s="125" t="s">
        <v>8</v>
      </c>
      <c r="B34" s="90"/>
      <c r="C34" s="173"/>
      <c r="D34" s="135"/>
      <c r="E34" s="72">
        <f t="shared" si="1"/>
        <v>0</v>
      </c>
      <c r="F34" s="128"/>
    </row>
    <row r="35" spans="1:8" x14ac:dyDescent="0.2">
      <c r="A35" s="104" t="s">
        <v>189</v>
      </c>
      <c r="B35" s="90">
        <f>((E31+E32)*'Page 3-Assumptions'!G25)-C35</f>
        <v>712037.1256272</v>
      </c>
      <c r="C35" s="202">
        <f>C31*'Page 3-Assumptions'!C25</f>
        <v>102075.51755232</v>
      </c>
      <c r="D35" s="135"/>
      <c r="E35" s="72">
        <f t="shared" si="1"/>
        <v>814112.64317952003</v>
      </c>
      <c r="F35" s="128"/>
    </row>
    <row r="36" spans="1:8" x14ac:dyDescent="0.2">
      <c r="A36" s="125" t="s">
        <v>9</v>
      </c>
      <c r="B36" s="90">
        <f>('Page 3-Assumptions'!B35*1.05^5)*'Page 2-Staffing Plan'!G37</f>
        <v>262444.33026000002</v>
      </c>
      <c r="C36" s="173"/>
      <c r="D36" s="135"/>
      <c r="E36" s="72">
        <f t="shared" si="1"/>
        <v>262444.33026000002</v>
      </c>
      <c r="F36" s="128"/>
      <c r="H36" s="84"/>
    </row>
    <row r="37" spans="1:8" x14ac:dyDescent="0.2">
      <c r="A37" s="125" t="s">
        <v>10</v>
      </c>
      <c r="B37" s="90">
        <f>('Page 3-Assumptions'!B36*1.02^4)*'Page 2-Staffing Plan'!G37</f>
        <v>12220.226113536</v>
      </c>
      <c r="C37" s="173"/>
      <c r="D37" s="135"/>
      <c r="E37" s="72">
        <f t="shared" si="1"/>
        <v>12220.226113536</v>
      </c>
      <c r="F37" s="128"/>
    </row>
    <row r="38" spans="1:8" x14ac:dyDescent="0.2">
      <c r="A38" s="125" t="s">
        <v>11</v>
      </c>
      <c r="B38" s="90">
        <f>'Page 3-Assumptions'!$B$37*'Page 2-Staffing Plan'!G37</f>
        <v>4200</v>
      </c>
      <c r="C38" s="173"/>
      <c r="D38" s="135"/>
      <c r="E38" s="72">
        <f t="shared" si="1"/>
        <v>4200</v>
      </c>
      <c r="F38" s="128"/>
    </row>
    <row r="39" spans="1:8" x14ac:dyDescent="0.2">
      <c r="A39" s="104" t="s">
        <v>194</v>
      </c>
      <c r="B39" s="90"/>
      <c r="C39" s="173"/>
      <c r="D39" s="173"/>
      <c r="E39" s="72">
        <f t="shared" si="1"/>
        <v>0</v>
      </c>
      <c r="F39" s="128"/>
    </row>
    <row r="40" spans="1:8" x14ac:dyDescent="0.2">
      <c r="A40" s="104" t="s">
        <v>119</v>
      </c>
      <c r="B40" s="90">
        <f>('Page 3-Assumptions'!$B$39*'Page 2-Staffing Plan'!G37)</f>
        <v>1008</v>
      </c>
      <c r="C40" s="173"/>
      <c r="D40" s="135"/>
      <c r="E40" s="72">
        <f t="shared" si="1"/>
        <v>1008</v>
      </c>
      <c r="F40" s="128"/>
    </row>
    <row r="41" spans="1:8" x14ac:dyDescent="0.2">
      <c r="A41" s="125" t="s">
        <v>12</v>
      </c>
      <c r="B41" s="90">
        <f>'Page 3-Assumptions'!G61-C41+104000</f>
        <v>113500</v>
      </c>
      <c r="C41" s="173">
        <f>'Page 3-Assumptions'!G56</f>
        <v>36549</v>
      </c>
      <c r="D41" s="137"/>
      <c r="E41" s="72">
        <f t="shared" si="1"/>
        <v>150049</v>
      </c>
      <c r="F41" s="128"/>
    </row>
    <row r="42" spans="1:8" x14ac:dyDescent="0.2">
      <c r="A42" s="104" t="s">
        <v>190</v>
      </c>
      <c r="B42" s="90">
        <f>E5*'Page 3-Assumptions'!$B$40</f>
        <v>34965</v>
      </c>
      <c r="C42" s="173"/>
      <c r="D42" s="135"/>
      <c r="E42" s="72">
        <f t="shared" si="1"/>
        <v>34965</v>
      </c>
      <c r="F42" s="128"/>
    </row>
    <row r="43" spans="1:8" x14ac:dyDescent="0.2">
      <c r="A43" s="125" t="s">
        <v>13</v>
      </c>
      <c r="B43" s="173">
        <f>'Page 8-Year 4'!B43*1.1</f>
        <v>13310.000000000004</v>
      </c>
      <c r="C43" s="173"/>
      <c r="D43" s="135"/>
      <c r="E43" s="72">
        <f t="shared" si="1"/>
        <v>13310.000000000004</v>
      </c>
      <c r="F43" s="128"/>
    </row>
    <row r="44" spans="1:8" x14ac:dyDescent="0.2">
      <c r="A44" s="125" t="s">
        <v>14</v>
      </c>
      <c r="B44" s="173">
        <f>'Page 8-Year 4'!B44*1.1</f>
        <v>5445</v>
      </c>
      <c r="C44" s="173"/>
      <c r="D44" s="135"/>
      <c r="E44" s="72">
        <f t="shared" si="1"/>
        <v>5445</v>
      </c>
      <c r="F44" s="128"/>
    </row>
    <row r="45" spans="1:8" x14ac:dyDescent="0.2">
      <c r="A45" s="125" t="s">
        <v>15</v>
      </c>
      <c r="B45" s="173">
        <f>'Page 8-Year 4'!B45*1.1</f>
        <v>64735.000000000015</v>
      </c>
      <c r="C45" s="173"/>
      <c r="D45" s="135"/>
      <c r="E45" s="72">
        <f t="shared" si="1"/>
        <v>64735.000000000015</v>
      </c>
      <c r="F45" s="128"/>
    </row>
    <row r="46" spans="1:8" x14ac:dyDescent="0.2">
      <c r="A46" s="125" t="s">
        <v>16</v>
      </c>
      <c r="B46" s="173">
        <f>'Page 8-Year 4'!B46*1.1</f>
        <v>35165.232960000008</v>
      </c>
      <c r="C46" s="173"/>
      <c r="D46" s="135"/>
      <c r="E46" s="72">
        <f t="shared" si="1"/>
        <v>35165.232960000008</v>
      </c>
      <c r="F46" s="128"/>
    </row>
    <row r="47" spans="1:8" x14ac:dyDescent="0.2">
      <c r="A47" s="104" t="s">
        <v>211</v>
      </c>
      <c r="B47" s="173">
        <f>'Page 8-Year 4'!B47*1.1</f>
        <v>184257.38430000006</v>
      </c>
      <c r="C47" s="173"/>
      <c r="D47" s="173"/>
      <c r="E47" s="72">
        <f>SUM(B47:D47)</f>
        <v>184257.38430000006</v>
      </c>
      <c r="F47" s="128"/>
    </row>
    <row r="48" spans="1:8" x14ac:dyDescent="0.2">
      <c r="A48" s="125" t="s">
        <v>17</v>
      </c>
      <c r="B48" s="173">
        <f>'Page 8-Year 4'!B48*1.1</f>
        <v>54339.978330000005</v>
      </c>
      <c r="C48" s="173"/>
      <c r="D48" s="135"/>
      <c r="E48" s="72">
        <f t="shared" si="1"/>
        <v>54339.978330000005</v>
      </c>
      <c r="F48" s="128"/>
    </row>
    <row r="49" spans="1:6" x14ac:dyDescent="0.2">
      <c r="A49" s="125" t="s">
        <v>18</v>
      </c>
      <c r="B49" s="173">
        <f>'Page 8-Year 4'!B49*1.05</f>
        <v>49140</v>
      </c>
      <c r="C49" s="173"/>
      <c r="D49" s="135"/>
      <c r="E49" s="72">
        <f t="shared" si="1"/>
        <v>49140</v>
      </c>
      <c r="F49" s="128"/>
    </row>
    <row r="50" spans="1:6" x14ac:dyDescent="0.2">
      <c r="A50" s="125" t="s">
        <v>19</v>
      </c>
      <c r="B50" s="173">
        <f>B26*0.2</f>
        <v>1360521.7163999998</v>
      </c>
      <c r="C50" s="173"/>
      <c r="D50" s="135"/>
      <c r="E50" s="72">
        <f t="shared" si="1"/>
        <v>1360521.7163999998</v>
      </c>
      <c r="F50" s="128"/>
    </row>
    <row r="51" spans="1:6" x14ac:dyDescent="0.2">
      <c r="A51" s="125" t="s">
        <v>20</v>
      </c>
      <c r="B51" s="90">
        <f>('Page 3-Assumptions'!$B$42+'Page 3-Assumptions'!$B$43)*'Page 1-Enrollment Plan'!F20</f>
        <v>15540</v>
      </c>
      <c r="C51" s="173"/>
      <c r="D51" s="135"/>
      <c r="E51" s="72">
        <f t="shared" si="1"/>
        <v>15540</v>
      </c>
      <c r="F51" s="128"/>
    </row>
    <row r="52" spans="1:6" x14ac:dyDescent="0.2">
      <c r="A52" s="104" t="s">
        <v>255</v>
      </c>
      <c r="B52" s="90">
        <v>48000</v>
      </c>
      <c r="C52" s="173"/>
      <c r="D52" s="135"/>
      <c r="E52" s="72">
        <f t="shared" si="1"/>
        <v>48000</v>
      </c>
      <c r="F52" s="128"/>
    </row>
    <row r="53" spans="1:6" x14ac:dyDescent="0.2">
      <c r="A53" s="125" t="s">
        <v>21</v>
      </c>
      <c r="B53" s="90">
        <f>'Page 3-Assumptions'!$G$28*(E31+E32)</f>
        <v>11972.244752640003</v>
      </c>
      <c r="C53" s="173"/>
      <c r="D53" s="135"/>
      <c r="E53" s="72">
        <f t="shared" si="1"/>
        <v>11972.244752640003</v>
      </c>
      <c r="F53" s="128"/>
    </row>
    <row r="54" spans="1:6" x14ac:dyDescent="0.2">
      <c r="A54" s="125" t="s">
        <v>22</v>
      </c>
      <c r="B54" s="90">
        <f>((E31+E32)/100)*0.75</f>
        <v>29930.611881600005</v>
      </c>
      <c r="C54" s="173"/>
      <c r="D54" s="135"/>
      <c r="E54" s="72">
        <f t="shared" si="1"/>
        <v>29930.611881600005</v>
      </c>
      <c r="F54" s="128"/>
    </row>
    <row r="55" spans="1:6" x14ac:dyDescent="0.2">
      <c r="A55" s="125" t="s">
        <v>23</v>
      </c>
      <c r="B55" s="173">
        <f>'Page 8-Year 4'!B55*1.1</f>
        <v>8624.8800000000028</v>
      </c>
      <c r="C55" s="173"/>
      <c r="D55" s="135"/>
      <c r="E55" s="72">
        <f t="shared" si="1"/>
        <v>8624.8800000000028</v>
      </c>
      <c r="F55" s="128"/>
    </row>
    <row r="56" spans="1:6" x14ac:dyDescent="0.2">
      <c r="A56" s="125" t="s">
        <v>24</v>
      </c>
      <c r="B56" s="90">
        <f>'Page 3-Assumptions'!$B$44*'Page 1-Enrollment Plan'!$F$20</f>
        <v>3885</v>
      </c>
      <c r="C56" s="173"/>
      <c r="D56" s="135"/>
      <c r="E56" s="72">
        <f t="shared" si="1"/>
        <v>3885</v>
      </c>
      <c r="F56" s="128"/>
    </row>
    <row r="57" spans="1:6" x14ac:dyDescent="0.2">
      <c r="A57" s="125" t="s">
        <v>42</v>
      </c>
      <c r="B57" s="90">
        <f>E5*'Page 3-Assumptions'!$B$45</f>
        <v>9712.5</v>
      </c>
      <c r="C57" s="173"/>
      <c r="D57" s="135"/>
      <c r="E57" s="72">
        <f t="shared" si="1"/>
        <v>9712.5</v>
      </c>
      <c r="F57" s="128"/>
    </row>
    <row r="58" spans="1:6" x14ac:dyDescent="0.2">
      <c r="A58" s="125" t="s">
        <v>25</v>
      </c>
      <c r="B58" s="90">
        <f>'Page 2-Staffing Plan'!G37*'Page 3-Assumptions'!$B$38</f>
        <v>4200</v>
      </c>
      <c r="C58" s="173"/>
      <c r="D58" s="138"/>
      <c r="E58" s="72">
        <f t="shared" si="1"/>
        <v>4200</v>
      </c>
      <c r="F58" s="128" t="s">
        <v>76</v>
      </c>
    </row>
    <row r="59" spans="1:6" x14ac:dyDescent="0.2">
      <c r="A59" s="104" t="s">
        <v>193</v>
      </c>
      <c r="B59" s="90">
        <f>E26*'Page 3-Assumptions'!G23</f>
        <v>204078.25745999994</v>
      </c>
      <c r="C59" s="173"/>
      <c r="D59" s="135"/>
      <c r="E59" s="72">
        <f t="shared" si="1"/>
        <v>204078.25745999994</v>
      </c>
      <c r="F59" s="128"/>
    </row>
    <row r="60" spans="1:6" x14ac:dyDescent="0.2">
      <c r="A60" s="104" t="s">
        <v>192</v>
      </c>
      <c r="B60" s="90">
        <f>B26*'Page 3-Assumptions'!G24</f>
        <v>68026.085819999993</v>
      </c>
      <c r="C60" s="173"/>
      <c r="D60" s="135"/>
      <c r="E60" s="72">
        <f t="shared" si="1"/>
        <v>68026.085819999993</v>
      </c>
      <c r="F60" s="128"/>
    </row>
    <row r="61" spans="1:6" x14ac:dyDescent="0.2">
      <c r="A61" s="125" t="s">
        <v>26</v>
      </c>
      <c r="B61" s="90">
        <f>'Page 3-Assumptions'!$B$46*'Page 1-Enrollment Plan'!$F$20*0.8</f>
        <v>37296</v>
      </c>
      <c r="C61" s="173"/>
      <c r="D61" s="135"/>
      <c r="E61" s="72">
        <f t="shared" si="1"/>
        <v>37296</v>
      </c>
      <c r="F61" s="128"/>
    </row>
    <row r="62" spans="1:6" x14ac:dyDescent="0.2">
      <c r="A62" s="125" t="s">
        <v>27</v>
      </c>
      <c r="B62" s="90">
        <f>E5*'Page 3-Assumptions'!$B$47</f>
        <v>11655</v>
      </c>
      <c r="C62" s="173"/>
      <c r="D62" s="135"/>
      <c r="E62" s="72">
        <f t="shared" si="1"/>
        <v>11655</v>
      </c>
      <c r="F62" s="128"/>
    </row>
    <row r="63" spans="1:6" x14ac:dyDescent="0.2">
      <c r="A63" s="125" t="s">
        <v>41</v>
      </c>
      <c r="B63" s="90">
        <f>E5*'Page 3-Assumptions'!$B$48</f>
        <v>7770</v>
      </c>
      <c r="C63" s="173"/>
      <c r="D63" s="135"/>
      <c r="E63" s="72">
        <f t="shared" si="1"/>
        <v>7770</v>
      </c>
      <c r="F63" s="128"/>
    </row>
    <row r="64" spans="1:6" x14ac:dyDescent="0.2">
      <c r="A64" s="125" t="s">
        <v>28</v>
      </c>
      <c r="B64" s="258">
        <f>624*('Page 1-Enrollment Plan'!D$20-'Page 1-Enrollment Plan'!C$20)</f>
        <v>50544</v>
      </c>
      <c r="C64" s="173"/>
      <c r="D64" s="138"/>
      <c r="E64" s="72">
        <f t="shared" si="1"/>
        <v>50544</v>
      </c>
      <c r="F64" s="128" t="s">
        <v>76</v>
      </c>
    </row>
    <row r="65" spans="1:6" x14ac:dyDescent="0.2">
      <c r="A65" s="125" t="s">
        <v>29</v>
      </c>
      <c r="B65" s="258">
        <f>'Page 8-Year 4'!$B65*1.1</f>
        <v>1815.0000000000005</v>
      </c>
      <c r="C65" s="173"/>
      <c r="D65" s="135"/>
      <c r="E65" s="72">
        <f t="shared" si="1"/>
        <v>1815.0000000000005</v>
      </c>
      <c r="F65" s="128"/>
    </row>
    <row r="66" spans="1:6" x14ac:dyDescent="0.2">
      <c r="A66" s="104" t="s">
        <v>191</v>
      </c>
      <c r="B66" s="258">
        <f>'Page 8-Year 4'!$B66*1.5</f>
        <v>0</v>
      </c>
      <c r="C66" s="173"/>
      <c r="D66" s="173"/>
      <c r="E66" s="72">
        <f t="shared" si="1"/>
        <v>0</v>
      </c>
      <c r="F66" s="128"/>
    </row>
    <row r="67" spans="1:6" x14ac:dyDescent="0.2">
      <c r="A67" s="125" t="s">
        <v>30</v>
      </c>
      <c r="B67" s="258">
        <v>20000</v>
      </c>
      <c r="C67" s="173"/>
      <c r="D67" s="135"/>
      <c r="E67" s="72">
        <f t="shared" si="1"/>
        <v>20000</v>
      </c>
      <c r="F67" s="128"/>
    </row>
    <row r="68" spans="1:6" x14ac:dyDescent="0.2">
      <c r="A68" s="125" t="s">
        <v>31</v>
      </c>
      <c r="B68" s="258">
        <f>('Page 1-Enrollment Plan'!C$20-'Page 1-Enrollment Plan'!B$20)*180+('Page 2-Staffing Plan'!D$37-'Page 2-Staffing Plan'!C$37)*500+3500</f>
        <v>-10800</v>
      </c>
      <c r="C68" s="173"/>
      <c r="D68" s="135"/>
      <c r="E68" s="72">
        <f t="shared" si="1"/>
        <v>-10800</v>
      </c>
      <c r="F68" s="128"/>
    </row>
    <row r="69" spans="1:6" x14ac:dyDescent="0.2">
      <c r="A69" s="125" t="s">
        <v>32</v>
      </c>
      <c r="B69" s="90">
        <f>'Page 3-Assumptions'!$B$49*'Page 1-Enrollment Plan'!F20</f>
        <v>15540</v>
      </c>
      <c r="C69" s="173"/>
      <c r="D69" s="135"/>
      <c r="E69" s="72">
        <f t="shared" si="1"/>
        <v>15540</v>
      </c>
      <c r="F69" s="128"/>
    </row>
    <row r="70" spans="1:6" x14ac:dyDescent="0.2">
      <c r="A70" s="125" t="s">
        <v>43</v>
      </c>
      <c r="B70" s="173"/>
      <c r="C70" s="173"/>
      <c r="D70" s="135"/>
      <c r="E70" s="72">
        <f t="shared" si="1"/>
        <v>0</v>
      </c>
      <c r="F70" s="128"/>
    </row>
    <row r="71" spans="1:6" x14ac:dyDescent="0.2">
      <c r="A71" s="125" t="s">
        <v>33</v>
      </c>
      <c r="B71" s="258">
        <f>'Page 8-Year 4'!$B71*('Page 1-Enrollment Plan'!F$20/'Page 1-Enrollment Plan'!E$20)</f>
        <v>7705.7851239669417</v>
      </c>
      <c r="C71" s="173"/>
      <c r="D71" s="135"/>
      <c r="E71" s="72">
        <f t="shared" si="1"/>
        <v>7705.7851239669417</v>
      </c>
      <c r="F71" s="128"/>
    </row>
    <row r="72" spans="1:6" x14ac:dyDescent="0.2">
      <c r="A72" s="104" t="s">
        <v>34</v>
      </c>
      <c r="B72" s="258">
        <f>'Page 8-Year 4'!$B72*('Page 1-Enrollment Plan'!C$20/'Page 1-Enrollment Plan'!B$20)</f>
        <v>0</v>
      </c>
      <c r="C72" s="173"/>
      <c r="D72" s="137"/>
      <c r="E72" s="72">
        <f t="shared" si="1"/>
        <v>0</v>
      </c>
      <c r="F72" s="128"/>
    </row>
    <row r="73" spans="1:6" x14ac:dyDescent="0.2">
      <c r="A73" s="218" t="s">
        <v>40</v>
      </c>
      <c r="B73" s="225">
        <f>SUM(B31:B72)</f>
        <v>6987474.8240289418</v>
      </c>
      <c r="C73" s="225">
        <f>SUM(C31:C72)</f>
        <v>652547.76843231998</v>
      </c>
      <c r="D73" s="225">
        <f>SUM(D31:D72)</f>
        <v>0</v>
      </c>
      <c r="E73" s="225">
        <f>SUM(E31:E72)</f>
        <v>7640022.5924612628</v>
      </c>
      <c r="F73" s="128"/>
    </row>
    <row r="74" spans="1:6" x14ac:dyDescent="0.2">
      <c r="A74" s="110"/>
      <c r="B74" s="21"/>
      <c r="C74" s="21"/>
      <c r="D74" s="21"/>
      <c r="E74" s="4"/>
      <c r="F74" s="128"/>
    </row>
    <row r="75" spans="1:6" x14ac:dyDescent="0.2">
      <c r="A75" s="219" t="s">
        <v>82</v>
      </c>
      <c r="B75" s="213">
        <f>B28-B73</f>
        <v>444015.25557773001</v>
      </c>
      <c r="C75" s="213">
        <f>C28-C73</f>
        <v>-455966.76843231998</v>
      </c>
      <c r="D75" s="213">
        <f>D28-D73</f>
        <v>0</v>
      </c>
      <c r="E75" s="213">
        <f>E28-E73</f>
        <v>-11951.512854591012</v>
      </c>
      <c r="F75" s="128"/>
    </row>
    <row r="76" spans="1:6" x14ac:dyDescent="0.2">
      <c r="A76" s="110"/>
      <c r="B76" s="21"/>
      <c r="C76" s="21"/>
      <c r="D76" s="21"/>
      <c r="E76" s="4"/>
      <c r="F76" s="128"/>
    </row>
    <row r="77" spans="1:6" x14ac:dyDescent="0.2">
      <c r="A77" s="109" t="s">
        <v>175</v>
      </c>
      <c r="B77" s="21"/>
      <c r="C77" s="21"/>
      <c r="D77" s="24"/>
      <c r="E77" s="4"/>
      <c r="F77" s="128"/>
    </row>
    <row r="78" spans="1:6" x14ac:dyDescent="0.2">
      <c r="A78" s="232" t="s">
        <v>187</v>
      </c>
      <c r="B78" s="21">
        <v>0</v>
      </c>
      <c r="C78" s="21"/>
      <c r="D78" s="24"/>
      <c r="E78" s="4">
        <f>B78+C78+D78</f>
        <v>0</v>
      </c>
      <c r="F78" s="128"/>
    </row>
    <row r="79" spans="1:6" x14ac:dyDescent="0.2">
      <c r="A79" s="111" t="s">
        <v>136</v>
      </c>
      <c r="B79" s="231">
        <f>-(3%*(B28-((SUM(B15:B21)))))+'Page 8-Year 4'!E84</f>
        <v>-8317.0491292424849</v>
      </c>
      <c r="C79" s="21"/>
      <c r="D79" s="21"/>
      <c r="E79" s="4">
        <f>SUM(B79:D79)</f>
        <v>-8317.0491292424849</v>
      </c>
      <c r="F79" s="128"/>
    </row>
    <row r="80" spans="1:6" x14ac:dyDescent="0.2">
      <c r="A80" s="218" t="s">
        <v>45</v>
      </c>
      <c r="B80" s="221">
        <f>SUM(B75:B79)</f>
        <v>435698.20644848753</v>
      </c>
      <c r="C80" s="221">
        <f>SUM(C75:C79)</f>
        <v>-455966.76843231998</v>
      </c>
      <c r="D80" s="221">
        <f>SUM(D75:D79)</f>
        <v>0</v>
      </c>
      <c r="E80" s="221">
        <f>SUM(E75:E79)</f>
        <v>-20268.561983833497</v>
      </c>
      <c r="F80" s="128"/>
    </row>
    <row r="81" spans="1:6" ht="15" x14ac:dyDescent="0.25">
      <c r="A81" s="119"/>
      <c r="B81" s="80"/>
      <c r="C81" s="80"/>
      <c r="D81" s="80"/>
      <c r="E81" s="120"/>
      <c r="F81" s="130"/>
    </row>
    <row r="82" spans="1:6" ht="15" x14ac:dyDescent="0.25">
      <c r="A82" s="110" t="s">
        <v>95</v>
      </c>
      <c r="B82" s="80"/>
      <c r="C82" s="80"/>
      <c r="D82" s="80"/>
      <c r="E82" s="28">
        <f>'Page 8-Year 4'!E83</f>
        <v>270845.10934129823</v>
      </c>
      <c r="F82" s="130"/>
    </row>
    <row r="83" spans="1:6" ht="15" x14ac:dyDescent="0.25">
      <c r="A83" s="110" t="s">
        <v>96</v>
      </c>
      <c r="B83" s="80"/>
      <c r="C83" s="80"/>
      <c r="D83" s="80"/>
      <c r="E83" s="28">
        <f>E75+E78+E82</f>
        <v>258893.59648670722</v>
      </c>
      <c r="F83" s="130"/>
    </row>
    <row r="84" spans="1:6" ht="15" x14ac:dyDescent="0.25">
      <c r="A84" s="111" t="s">
        <v>97</v>
      </c>
      <c r="B84" s="80"/>
      <c r="C84" s="80"/>
      <c r="D84" s="80"/>
      <c r="E84" s="24">
        <f>'Page 8-Year 4'!E84-E79</f>
        <v>213573.13738820015</v>
      </c>
      <c r="F84" s="130"/>
    </row>
    <row r="85" spans="1:6" ht="15" x14ac:dyDescent="0.25">
      <c r="A85" s="111" t="s">
        <v>98</v>
      </c>
      <c r="B85" s="80"/>
      <c r="C85" s="80"/>
      <c r="D85" s="80"/>
      <c r="E85" s="24">
        <f>E83-E84</f>
        <v>45320.459098507068</v>
      </c>
      <c r="F85" s="130"/>
    </row>
    <row r="86" spans="1:6" x14ac:dyDescent="0.2">
      <c r="A86" s="112" t="s">
        <v>99</v>
      </c>
      <c r="B86" s="14"/>
      <c r="C86" s="14"/>
      <c r="D86" s="14"/>
      <c r="E86" s="113">
        <f>E85/E73</f>
        <v>5.9319797225765676E-3</v>
      </c>
      <c r="F86" s="130"/>
    </row>
    <row r="87" spans="1:6" x14ac:dyDescent="0.2">
      <c r="A87" s="117"/>
      <c r="B87" s="68"/>
      <c r="C87" s="68"/>
      <c r="D87" s="68"/>
      <c r="E87" s="69"/>
      <c r="F87" s="131"/>
    </row>
  </sheetData>
  <mergeCells count="1">
    <mergeCell ref="B3:E3"/>
  </mergeCells>
  <phoneticPr fontId="2" type="noConversion"/>
  <printOptions horizontalCentered="1"/>
  <pageMargins left="0.25" right="0.25" top="0.42" bottom="0.69" header="0.25" footer="0.73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topLeftCell="A58" zoomScaleNormal="80" zoomScaleSheetLayoutView="100" workbookViewId="0">
      <selection activeCell="B42" sqref="B42"/>
    </sheetView>
  </sheetViews>
  <sheetFormatPr defaultColWidth="11.42578125" defaultRowHeight="12.75" x14ac:dyDescent="0.2"/>
  <cols>
    <col min="1" max="1" width="37.140625" style="1" customWidth="1"/>
    <col min="2" max="5" width="12.7109375" style="1" customWidth="1"/>
    <col min="6" max="6" width="45.7109375" style="48" customWidth="1"/>
    <col min="7" max="7" width="11.42578125" style="1" customWidth="1"/>
    <col min="8" max="8" width="12" style="1" bestFit="1" customWidth="1"/>
    <col min="9" max="16384" width="11.42578125" style="1"/>
  </cols>
  <sheetData>
    <row r="1" spans="1:6" ht="18.75" x14ac:dyDescent="0.3">
      <c r="A1" s="99" t="str">
        <f>'Page 3-Assumptions'!A1</f>
        <v>Colorado Military Academy</v>
      </c>
      <c r="B1" s="100"/>
      <c r="C1" s="100"/>
      <c r="D1" s="100"/>
      <c r="E1" s="64"/>
      <c r="F1" s="136" t="s">
        <v>186</v>
      </c>
    </row>
    <row r="2" spans="1:6" ht="18.75" x14ac:dyDescent="0.3">
      <c r="A2" s="101" t="str">
        <f>B3</f>
        <v>Year 6</v>
      </c>
      <c r="B2" s="14"/>
      <c r="C2" s="14"/>
      <c r="D2" s="14"/>
      <c r="E2" s="66"/>
      <c r="F2" s="114"/>
    </row>
    <row r="3" spans="1:6" s="2" customFormat="1" x14ac:dyDescent="0.2">
      <c r="A3" s="102"/>
      <c r="B3" s="391" t="s">
        <v>447</v>
      </c>
      <c r="C3" s="392"/>
      <c r="D3" s="392"/>
      <c r="E3" s="393"/>
      <c r="F3" s="121"/>
    </row>
    <row r="4" spans="1:6" s="2" customFormat="1" ht="25.5" x14ac:dyDescent="0.2">
      <c r="A4" s="67"/>
      <c r="B4" s="3" t="s">
        <v>44</v>
      </c>
      <c r="C4" s="3" t="s">
        <v>133</v>
      </c>
      <c r="D4" s="3" t="s">
        <v>243</v>
      </c>
      <c r="E4" s="3" t="s">
        <v>35</v>
      </c>
      <c r="F4" s="122" t="s">
        <v>77</v>
      </c>
    </row>
    <row r="5" spans="1:6" s="2" customFormat="1" x14ac:dyDescent="0.2">
      <c r="A5" s="103" t="s">
        <v>89</v>
      </c>
      <c r="B5" s="19"/>
      <c r="C5" s="19"/>
      <c r="D5" s="19"/>
      <c r="E5" s="60">
        <f>'Page 1-Enrollment Plan'!G20</f>
        <v>789</v>
      </c>
      <c r="F5" s="44"/>
    </row>
    <row r="6" spans="1:6" s="2" customFormat="1" x14ac:dyDescent="0.2">
      <c r="A6" s="103" t="s">
        <v>59</v>
      </c>
      <c r="B6" s="19"/>
      <c r="C6" s="19"/>
      <c r="D6" s="19"/>
      <c r="E6" s="59">
        <f>'Page 1-Enrollment Plan'!G22</f>
        <v>789</v>
      </c>
      <c r="F6" s="127"/>
    </row>
    <row r="7" spans="1:6" s="2" customFormat="1" x14ac:dyDescent="0.2">
      <c r="A7" s="67" t="s">
        <v>37</v>
      </c>
      <c r="B7" s="19"/>
      <c r="C7" s="19"/>
      <c r="D7" s="19"/>
      <c r="E7" s="5"/>
      <c r="F7" s="127"/>
    </row>
    <row r="8" spans="1:6" x14ac:dyDescent="0.2">
      <c r="A8" s="104" t="s">
        <v>0</v>
      </c>
      <c r="B8" s="173"/>
      <c r="C8" s="173">
        <v>0</v>
      </c>
      <c r="D8" s="135"/>
      <c r="E8" s="72">
        <f t="shared" ref="E8:E27" si="0">SUM(B8:D8)</f>
        <v>0</v>
      </c>
      <c r="F8" s="128"/>
    </row>
    <row r="9" spans="1:6" x14ac:dyDescent="0.2">
      <c r="A9" s="104" t="s">
        <v>210</v>
      </c>
      <c r="B9" s="90">
        <f>'Page 1-Enrollment Plan'!F6*'Page 3-Assumptions'!G18</f>
        <v>0</v>
      </c>
      <c r="C9" s="135"/>
      <c r="D9" s="135"/>
      <c r="E9" s="72">
        <f>SUM(B9:D9)</f>
        <v>0</v>
      </c>
      <c r="F9" s="128"/>
    </row>
    <row r="10" spans="1:6" x14ac:dyDescent="0.2">
      <c r="A10" s="104" t="s">
        <v>453</v>
      </c>
      <c r="B10" s="90">
        <v>20000</v>
      </c>
      <c r="C10" s="135"/>
      <c r="D10" s="135"/>
      <c r="E10" s="72">
        <f t="shared" si="0"/>
        <v>20000</v>
      </c>
      <c r="F10" s="128"/>
    </row>
    <row r="11" spans="1:6" x14ac:dyDescent="0.2">
      <c r="A11" s="104" t="s">
        <v>1</v>
      </c>
      <c r="B11" s="173">
        <f>0.02*E82</f>
        <v>5177.871929734144</v>
      </c>
      <c r="C11" s="135"/>
      <c r="D11" s="135"/>
      <c r="E11" s="72">
        <f t="shared" si="0"/>
        <v>5177.871929734144</v>
      </c>
      <c r="F11" s="128"/>
    </row>
    <row r="12" spans="1:6" x14ac:dyDescent="0.2">
      <c r="A12" s="104" t="s">
        <v>195</v>
      </c>
      <c r="B12" s="173"/>
      <c r="C12" s="135"/>
      <c r="D12" s="135"/>
      <c r="E12" s="72">
        <f t="shared" si="0"/>
        <v>0</v>
      </c>
      <c r="F12" s="128"/>
    </row>
    <row r="13" spans="1:6" x14ac:dyDescent="0.2">
      <c r="A13" s="104" t="s">
        <v>444</v>
      </c>
      <c r="B13" s="173">
        <f>'Page 9-Year 5'!B13/'Page 9-Year 5'!E5*'Page 9-Year 6 '!E5</f>
        <v>269521.79770992365</v>
      </c>
      <c r="C13" s="135"/>
      <c r="D13" s="135"/>
      <c r="E13" s="72">
        <f t="shared" si="0"/>
        <v>269521.79770992365</v>
      </c>
      <c r="F13" s="128"/>
    </row>
    <row r="14" spans="1:6" x14ac:dyDescent="0.2">
      <c r="A14" s="104" t="s">
        <v>3</v>
      </c>
      <c r="B14" s="173">
        <f>'Page 8-Year 4'!B14/'Page 1-Enrollment Plan'!E$20*'Page 1-Enrollment Plan'!F$20</f>
        <v>29656.488549618323</v>
      </c>
      <c r="C14" s="135"/>
      <c r="D14" s="135"/>
      <c r="E14" s="72">
        <f t="shared" si="0"/>
        <v>29656.488549618323</v>
      </c>
      <c r="F14" s="128"/>
    </row>
    <row r="15" spans="1:6" x14ac:dyDescent="0.2">
      <c r="A15" s="105" t="s">
        <v>4</v>
      </c>
      <c r="B15" s="173">
        <f>ROUND('Page 8-Year 4'!B15/'Page 1-Enrollment Plan'!E$20*'Page 1-Enrollment Plan'!F$20,-3)</f>
        <v>31000</v>
      </c>
      <c r="C15" s="135"/>
      <c r="D15" s="135"/>
      <c r="E15" s="72">
        <f t="shared" si="0"/>
        <v>31000</v>
      </c>
      <c r="F15" s="128"/>
    </row>
    <row r="16" spans="1:6" x14ac:dyDescent="0.2">
      <c r="A16" s="105" t="s">
        <v>5</v>
      </c>
      <c r="B16" s="90">
        <f>E5*'Page 3-Assumptions'!G7</f>
        <v>197250</v>
      </c>
      <c r="C16" s="135"/>
      <c r="D16" s="135"/>
      <c r="E16" s="72">
        <f t="shared" si="0"/>
        <v>197250</v>
      </c>
      <c r="F16" s="128"/>
    </row>
    <row r="17" spans="1:6" x14ac:dyDescent="0.2">
      <c r="A17" s="105" t="s">
        <v>232</v>
      </c>
      <c r="B17" s="90">
        <f>'Page 3-Assumptions'!G8*850/825</f>
        <v>88060</v>
      </c>
      <c r="C17" s="135"/>
      <c r="D17" s="135"/>
      <c r="E17" s="72">
        <f t="shared" si="0"/>
        <v>88060</v>
      </c>
      <c r="F17" s="128"/>
    </row>
    <row r="18" spans="1:6" ht="12.75" customHeight="1" x14ac:dyDescent="0.2">
      <c r="A18" s="104" t="s">
        <v>249</v>
      </c>
      <c r="B18" s="90"/>
      <c r="C18" s="90">
        <f>'Page 3-Assumptions'!$G$9</f>
        <v>3302.25</v>
      </c>
      <c r="D18" s="135"/>
      <c r="E18" s="72">
        <f t="shared" si="0"/>
        <v>3302.25</v>
      </c>
      <c r="F18" s="128"/>
    </row>
    <row r="19" spans="1:6" x14ac:dyDescent="0.2">
      <c r="A19" s="104" t="s">
        <v>188</v>
      </c>
      <c r="B19" s="90">
        <f>'Page 3-Assumptions'!G13</f>
        <v>1665.5</v>
      </c>
      <c r="C19" s="135"/>
      <c r="D19" s="135"/>
      <c r="E19" s="72">
        <f t="shared" si="0"/>
        <v>1665.5</v>
      </c>
      <c r="F19" s="128"/>
    </row>
    <row r="20" spans="1:6" x14ac:dyDescent="0.2">
      <c r="A20" s="104" t="s">
        <v>196</v>
      </c>
      <c r="B20" s="258"/>
      <c r="C20" s="135"/>
      <c r="D20" s="135"/>
      <c r="E20" s="72">
        <f t="shared" si="0"/>
        <v>0</v>
      </c>
      <c r="F20" s="128"/>
    </row>
    <row r="21" spans="1:6" x14ac:dyDescent="0.2">
      <c r="A21" s="104" t="s">
        <v>179</v>
      </c>
      <c r="B21" s="90"/>
      <c r="C21" s="90">
        <f>'Page 3-Assumptions'!$G$14*850/825</f>
        <v>76852.363636363632</v>
      </c>
      <c r="D21" s="135"/>
      <c r="E21" s="72">
        <f t="shared" si="0"/>
        <v>76852.363636363632</v>
      </c>
      <c r="F21" s="128"/>
    </row>
    <row r="22" spans="1:6" x14ac:dyDescent="0.2">
      <c r="A22" s="104" t="s">
        <v>233</v>
      </c>
      <c r="B22" s="90"/>
      <c r="C22" s="90">
        <f>'Page 3-Assumptions'!$G$15*850/825</f>
        <v>120081.81818181818</v>
      </c>
      <c r="D22" s="135"/>
      <c r="E22" s="72">
        <f t="shared" si="0"/>
        <v>120081.81818181818</v>
      </c>
      <c r="F22" s="128"/>
    </row>
    <row r="23" spans="1:6" x14ac:dyDescent="0.2">
      <c r="A23" s="104" t="s">
        <v>180</v>
      </c>
      <c r="B23" s="90"/>
      <c r="C23" s="90">
        <f>'Page 3-Assumptions'!$G$16</f>
        <v>2136.75</v>
      </c>
      <c r="D23" s="135"/>
      <c r="E23" s="72">
        <f t="shared" si="0"/>
        <v>2136.75</v>
      </c>
      <c r="F23" s="128"/>
    </row>
    <row r="24" spans="1:6" x14ac:dyDescent="0.2">
      <c r="A24" s="118" t="s">
        <v>197</v>
      </c>
      <c r="B24" s="173"/>
      <c r="C24" s="135"/>
      <c r="D24" s="135"/>
      <c r="E24" s="72">
        <f t="shared" si="0"/>
        <v>0</v>
      </c>
      <c r="F24" s="128"/>
    </row>
    <row r="25" spans="1:6" x14ac:dyDescent="0.2">
      <c r="A25" s="118" t="s">
        <v>181</v>
      </c>
      <c r="B25" s="90"/>
      <c r="C25" s="135"/>
      <c r="D25" s="135"/>
      <c r="E25" s="72">
        <f t="shared" si="0"/>
        <v>0</v>
      </c>
      <c r="F25" s="128"/>
    </row>
    <row r="26" spans="1:6" x14ac:dyDescent="0.2">
      <c r="A26" s="118" t="s">
        <v>131</v>
      </c>
      <c r="B26" s="90">
        <f>E6*'Page 3-Assumptions'!G5</f>
        <v>6907668.1739999987</v>
      </c>
      <c r="C26" s="135"/>
      <c r="D26" s="135"/>
      <c r="E26" s="72">
        <f t="shared" si="0"/>
        <v>6907668.1739999987</v>
      </c>
      <c r="F26" s="128"/>
    </row>
    <row r="27" spans="1:6" x14ac:dyDescent="0.2">
      <c r="A27" s="263" t="s">
        <v>182</v>
      </c>
      <c r="B27" s="141">
        <f>'Page 3-Assumptions'!G6</f>
        <v>0</v>
      </c>
      <c r="C27" s="135"/>
      <c r="D27" s="135"/>
      <c r="E27" s="72">
        <f t="shared" si="0"/>
        <v>0</v>
      </c>
      <c r="F27" s="128"/>
    </row>
    <row r="28" spans="1:6" x14ac:dyDescent="0.2">
      <c r="A28" s="218" t="s">
        <v>38</v>
      </c>
      <c r="B28" s="213">
        <f>SUM(B8:B27)</f>
        <v>7549999.832189275</v>
      </c>
      <c r="C28" s="213">
        <f>SUM(C8:C27)</f>
        <v>202373.18181818182</v>
      </c>
      <c r="D28" s="213">
        <f>SUM(D8:D27)</f>
        <v>0</v>
      </c>
      <c r="E28" s="213">
        <f>SUM(E8:E27)</f>
        <v>7752373.0140074566</v>
      </c>
      <c r="F28" s="128"/>
    </row>
    <row r="29" spans="1:6" x14ac:dyDescent="0.2">
      <c r="A29" s="123"/>
      <c r="B29" s="21"/>
      <c r="C29" s="21"/>
      <c r="D29" s="21"/>
      <c r="E29" s="4"/>
      <c r="F29" s="128"/>
    </row>
    <row r="30" spans="1:6" x14ac:dyDescent="0.2">
      <c r="A30" s="124" t="s">
        <v>39</v>
      </c>
      <c r="B30" s="21"/>
      <c r="C30" s="21"/>
      <c r="D30" s="21"/>
      <c r="E30" s="4"/>
      <c r="F30" s="128"/>
    </row>
    <row r="31" spans="1:6" x14ac:dyDescent="0.2">
      <c r="A31" s="125" t="s">
        <v>93</v>
      </c>
      <c r="B31" s="90">
        <f>'Page 2-Staffing Plan'!G32*1.03+33000</f>
        <v>3590053.5000000005</v>
      </c>
      <c r="C31" s="173">
        <f>('Page 2-Staffing Plan'!G19*'Page 2-Staffing Plan'!$I19+'Page 2-Staffing Plan'!G10*'Page 2-Staffing Plan'!$I10+'Page 2-Staffing Plan'!$I25)*('Page 2-Staffing Plan'!$I32+1)^4</f>
        <v>506578.25088000001</v>
      </c>
      <c r="D31" s="135"/>
      <c r="E31" s="72">
        <f t="shared" ref="E31:E72" si="1">SUM(B31:D31)</f>
        <v>4096631.7508800006</v>
      </c>
      <c r="F31" s="128"/>
    </row>
    <row r="32" spans="1:6" x14ac:dyDescent="0.2">
      <c r="A32" s="125" t="s">
        <v>90</v>
      </c>
      <c r="B32" s="90">
        <f>('Page 3-Assumptions'!$B$33*'Page 3-Assumptions'!$B$34)*('Page 2-Staffing Plan'!$G$15)</f>
        <v>30720</v>
      </c>
      <c r="C32" s="173"/>
      <c r="D32" s="135"/>
      <c r="E32" s="72">
        <f t="shared" si="1"/>
        <v>30720</v>
      </c>
      <c r="F32" s="128"/>
    </row>
    <row r="33" spans="1:8" x14ac:dyDescent="0.2">
      <c r="A33" s="125" t="s">
        <v>7</v>
      </c>
      <c r="B33" s="90">
        <f>(B31+B32)*1.45%</f>
        <v>52501.215750000003</v>
      </c>
      <c r="C33" s="90">
        <f>ROUND((C31+C32)*1.45%,0)</f>
        <v>7345</v>
      </c>
      <c r="D33" s="135"/>
      <c r="E33" s="72">
        <f t="shared" si="1"/>
        <v>59846.215750000003</v>
      </c>
      <c r="F33" s="128"/>
    </row>
    <row r="34" spans="1:8" x14ac:dyDescent="0.2">
      <c r="A34" s="125" t="s">
        <v>8</v>
      </c>
      <c r="B34" s="90"/>
      <c r="C34" s="173"/>
      <c r="D34" s="135"/>
      <c r="E34" s="72">
        <f t="shared" si="1"/>
        <v>0</v>
      </c>
      <c r="F34" s="128"/>
    </row>
    <row r="35" spans="1:8" x14ac:dyDescent="0.2">
      <c r="A35" s="104" t="s">
        <v>189</v>
      </c>
      <c r="B35" s="90">
        <f>((E31+E32)*'Page 3-Assumptions'!G25)-C35</f>
        <v>739904.23962720006</v>
      </c>
      <c r="C35" s="202">
        <f>C31*'Page 3-Assumptions'!C25</f>
        <v>102075.51755232</v>
      </c>
      <c r="D35" s="135"/>
      <c r="E35" s="72">
        <f t="shared" si="1"/>
        <v>841979.75717952009</v>
      </c>
      <c r="F35" s="128"/>
    </row>
    <row r="36" spans="1:8" x14ac:dyDescent="0.2">
      <c r="A36" s="125" t="s">
        <v>9</v>
      </c>
      <c r="B36" s="90">
        <f>('Page 3-Assumptions'!B35*1.05^5)*'Page 2-Staffing Plan'!G37</f>
        <v>262444.33026000002</v>
      </c>
      <c r="C36" s="173"/>
      <c r="D36" s="135"/>
      <c r="E36" s="72">
        <f t="shared" si="1"/>
        <v>262444.33026000002</v>
      </c>
      <c r="F36" s="128"/>
      <c r="H36" s="84"/>
    </row>
    <row r="37" spans="1:8" x14ac:dyDescent="0.2">
      <c r="A37" s="125" t="s">
        <v>10</v>
      </c>
      <c r="B37" s="90">
        <f>('Page 3-Assumptions'!B36*1.02^4)*'Page 2-Staffing Plan'!G37</f>
        <v>12220.226113536</v>
      </c>
      <c r="C37" s="173"/>
      <c r="D37" s="135"/>
      <c r="E37" s="72">
        <f t="shared" si="1"/>
        <v>12220.226113536</v>
      </c>
      <c r="F37" s="128"/>
    </row>
    <row r="38" spans="1:8" x14ac:dyDescent="0.2">
      <c r="A38" s="125" t="s">
        <v>11</v>
      </c>
      <c r="B38" s="90">
        <f>'Page 3-Assumptions'!$B$37*'Page 2-Staffing Plan'!G37</f>
        <v>4200</v>
      </c>
      <c r="C38" s="173"/>
      <c r="D38" s="135"/>
      <c r="E38" s="72">
        <f t="shared" si="1"/>
        <v>4200</v>
      </c>
      <c r="F38" s="128"/>
    </row>
    <row r="39" spans="1:8" x14ac:dyDescent="0.2">
      <c r="A39" s="104" t="s">
        <v>194</v>
      </c>
      <c r="B39" s="90"/>
      <c r="C39" s="173"/>
      <c r="D39" s="173"/>
      <c r="E39" s="72">
        <f t="shared" si="1"/>
        <v>0</v>
      </c>
      <c r="F39" s="128"/>
    </row>
    <row r="40" spans="1:8" x14ac:dyDescent="0.2">
      <c r="A40" s="104" t="s">
        <v>119</v>
      </c>
      <c r="B40" s="90">
        <f>('Page 3-Assumptions'!$B$39*'Page 2-Staffing Plan'!G37)</f>
        <v>1008</v>
      </c>
      <c r="C40" s="173"/>
      <c r="D40" s="135"/>
      <c r="E40" s="72">
        <f t="shared" si="1"/>
        <v>1008</v>
      </c>
      <c r="F40" s="128"/>
    </row>
    <row r="41" spans="1:8" x14ac:dyDescent="0.2">
      <c r="A41" s="125" t="s">
        <v>12</v>
      </c>
      <c r="B41" s="90">
        <f>'Page 3-Assumptions'!G61-C41+104000</f>
        <v>113500</v>
      </c>
      <c r="C41" s="173">
        <f>'Page 3-Assumptions'!G56</f>
        <v>36549</v>
      </c>
      <c r="D41" s="137"/>
      <c r="E41" s="72">
        <f t="shared" si="1"/>
        <v>150049</v>
      </c>
      <c r="F41" s="128"/>
    </row>
    <row r="42" spans="1:8" x14ac:dyDescent="0.2">
      <c r="A42" s="104" t="s">
        <v>190</v>
      </c>
      <c r="B42" s="90">
        <f>E5*'Page 3-Assumptions'!$B$40</f>
        <v>35505</v>
      </c>
      <c r="C42" s="173"/>
      <c r="D42" s="135"/>
      <c r="E42" s="72">
        <f t="shared" si="1"/>
        <v>35505</v>
      </c>
      <c r="F42" s="128"/>
    </row>
    <row r="43" spans="1:8" x14ac:dyDescent="0.2">
      <c r="A43" s="125" t="s">
        <v>13</v>
      </c>
      <c r="B43" s="173">
        <f>'Page 8-Year 4'!B43*1.1</f>
        <v>13310.000000000004</v>
      </c>
      <c r="C43" s="173"/>
      <c r="D43" s="135"/>
      <c r="E43" s="72">
        <f t="shared" si="1"/>
        <v>13310.000000000004</v>
      </c>
      <c r="F43" s="128"/>
    </row>
    <row r="44" spans="1:8" x14ac:dyDescent="0.2">
      <c r="A44" s="125" t="s">
        <v>14</v>
      </c>
      <c r="B44" s="173">
        <f>'Page 8-Year 4'!B44*1.1</f>
        <v>5445</v>
      </c>
      <c r="C44" s="173"/>
      <c r="D44" s="135"/>
      <c r="E44" s="72">
        <f t="shared" si="1"/>
        <v>5445</v>
      </c>
      <c r="F44" s="128"/>
    </row>
    <row r="45" spans="1:8" x14ac:dyDescent="0.2">
      <c r="A45" s="125" t="s">
        <v>15</v>
      </c>
      <c r="B45" s="173">
        <f>'Page 8-Year 4'!B45*1.1</f>
        <v>64735.000000000015</v>
      </c>
      <c r="C45" s="173"/>
      <c r="D45" s="135"/>
      <c r="E45" s="72">
        <f t="shared" si="1"/>
        <v>64735.000000000015</v>
      </c>
      <c r="F45" s="128"/>
    </row>
    <row r="46" spans="1:8" x14ac:dyDescent="0.2">
      <c r="A46" s="125" t="s">
        <v>16</v>
      </c>
      <c r="B46" s="173">
        <f>'Page 8-Year 4'!B46*1.1</f>
        <v>35165.232960000008</v>
      </c>
      <c r="C46" s="173"/>
      <c r="D46" s="135"/>
      <c r="E46" s="72">
        <f t="shared" si="1"/>
        <v>35165.232960000008</v>
      </c>
      <c r="F46" s="128"/>
    </row>
    <row r="47" spans="1:8" x14ac:dyDescent="0.2">
      <c r="A47" s="104" t="s">
        <v>211</v>
      </c>
      <c r="B47" s="173">
        <f>'Page 8-Year 4'!B47*1.1*0.9</f>
        <v>165831.64587000007</v>
      </c>
      <c r="C47" s="173"/>
      <c r="D47" s="173"/>
      <c r="E47" s="72">
        <f>SUM(B47:D47)</f>
        <v>165831.64587000007</v>
      </c>
      <c r="F47" s="128"/>
    </row>
    <row r="48" spans="1:8" x14ac:dyDescent="0.2">
      <c r="A48" s="125" t="s">
        <v>17</v>
      </c>
      <c r="B48" s="173">
        <f>'Page 8-Year 4'!B48*1.1</f>
        <v>54339.978330000005</v>
      </c>
      <c r="C48" s="173"/>
      <c r="D48" s="135"/>
      <c r="E48" s="72">
        <f t="shared" si="1"/>
        <v>54339.978330000005</v>
      </c>
      <c r="F48" s="128"/>
    </row>
    <row r="49" spans="1:6" x14ac:dyDescent="0.2">
      <c r="A49" s="125" t="s">
        <v>18</v>
      </c>
      <c r="B49" s="173">
        <f>'Page 8-Year 4'!B49*2*0.65</f>
        <v>60840</v>
      </c>
      <c r="C49" s="173"/>
      <c r="D49" s="135"/>
      <c r="E49" s="72">
        <f t="shared" si="1"/>
        <v>60840</v>
      </c>
      <c r="F49" s="128"/>
    </row>
    <row r="50" spans="1:6" x14ac:dyDescent="0.2">
      <c r="A50" s="125" t="s">
        <v>19</v>
      </c>
      <c r="B50" s="90">
        <f>B26*0.2</f>
        <v>1381533.6347999999</v>
      </c>
      <c r="C50" s="173"/>
      <c r="D50" s="135"/>
      <c r="E50" s="72">
        <f t="shared" si="1"/>
        <v>1381533.6347999999</v>
      </c>
      <c r="F50" s="128"/>
    </row>
    <row r="51" spans="1:6" x14ac:dyDescent="0.2">
      <c r="A51" s="125" t="s">
        <v>20</v>
      </c>
      <c r="B51" s="90">
        <f>('Page 3-Assumptions'!$B$42+'Page 3-Assumptions'!$B$43)*'Page 1-Enrollment Plan'!F20</f>
        <v>15540</v>
      </c>
      <c r="C51" s="173"/>
      <c r="D51" s="135"/>
      <c r="E51" s="72">
        <f t="shared" si="1"/>
        <v>15540</v>
      </c>
      <c r="F51" s="128"/>
    </row>
    <row r="52" spans="1:6" x14ac:dyDescent="0.2">
      <c r="A52" s="104" t="s">
        <v>255</v>
      </c>
      <c r="B52" s="90">
        <v>49000</v>
      </c>
      <c r="C52" s="173"/>
      <c r="D52" s="135"/>
      <c r="E52" s="72">
        <f t="shared" si="1"/>
        <v>49000</v>
      </c>
      <c r="F52" s="128"/>
    </row>
    <row r="53" spans="1:6" x14ac:dyDescent="0.2">
      <c r="A53" s="125" t="s">
        <v>21</v>
      </c>
      <c r="B53" s="90">
        <f>'Page 3-Assumptions'!$G$28*(E31+E32)</f>
        <v>12382.055252640002</v>
      </c>
      <c r="C53" s="173"/>
      <c r="D53" s="135"/>
      <c r="E53" s="72">
        <f t="shared" si="1"/>
        <v>12382.055252640002</v>
      </c>
      <c r="F53" s="128"/>
    </row>
    <row r="54" spans="1:6" x14ac:dyDescent="0.2">
      <c r="A54" s="125" t="s">
        <v>22</v>
      </c>
      <c r="B54" s="90">
        <f>((E31+E32)/100)*0.75</f>
        <v>30955.138131600004</v>
      </c>
      <c r="C54" s="173"/>
      <c r="D54" s="135"/>
      <c r="E54" s="72">
        <f t="shared" si="1"/>
        <v>30955.138131600004</v>
      </c>
      <c r="F54" s="128"/>
    </row>
    <row r="55" spans="1:6" x14ac:dyDescent="0.2">
      <c r="A55" s="125" t="s">
        <v>23</v>
      </c>
      <c r="B55" s="173">
        <f>'Page 8-Year 4'!B55*1.1</f>
        <v>8624.8800000000028</v>
      </c>
      <c r="C55" s="173"/>
      <c r="D55" s="135"/>
      <c r="E55" s="72">
        <f t="shared" si="1"/>
        <v>8624.8800000000028</v>
      </c>
      <c r="F55" s="128"/>
    </row>
    <row r="56" spans="1:6" x14ac:dyDescent="0.2">
      <c r="A56" s="125" t="s">
        <v>24</v>
      </c>
      <c r="B56" s="90">
        <f>'Page 3-Assumptions'!$B$44*'Page 1-Enrollment Plan'!$F$20</f>
        <v>3885</v>
      </c>
      <c r="C56" s="173"/>
      <c r="D56" s="135"/>
      <c r="E56" s="72">
        <f t="shared" si="1"/>
        <v>3885</v>
      </c>
      <c r="F56" s="128"/>
    </row>
    <row r="57" spans="1:6" x14ac:dyDescent="0.2">
      <c r="A57" s="125" t="s">
        <v>42</v>
      </c>
      <c r="B57" s="90">
        <f>E5*'Page 3-Assumptions'!$B$45</f>
        <v>9862.5</v>
      </c>
      <c r="C57" s="173"/>
      <c r="D57" s="135"/>
      <c r="E57" s="72">
        <f t="shared" si="1"/>
        <v>9862.5</v>
      </c>
      <c r="F57" s="128"/>
    </row>
    <row r="58" spans="1:6" x14ac:dyDescent="0.2">
      <c r="A58" s="125" t="s">
        <v>25</v>
      </c>
      <c r="B58" s="90">
        <f>'Page 2-Staffing Plan'!G37*'Page 3-Assumptions'!$B$38</f>
        <v>4200</v>
      </c>
      <c r="C58" s="173"/>
      <c r="D58" s="138"/>
      <c r="E58" s="72">
        <f t="shared" si="1"/>
        <v>4200</v>
      </c>
      <c r="F58" s="128" t="s">
        <v>76</v>
      </c>
    </row>
    <row r="59" spans="1:6" x14ac:dyDescent="0.2">
      <c r="A59" s="104" t="s">
        <v>193</v>
      </c>
      <c r="B59" s="90">
        <f>E26*'Page 3-Assumptions'!G23</f>
        <v>207230.04521999994</v>
      </c>
      <c r="C59" s="173"/>
      <c r="D59" s="135"/>
      <c r="E59" s="72">
        <f t="shared" si="1"/>
        <v>207230.04521999994</v>
      </c>
      <c r="F59" s="128"/>
    </row>
    <row r="60" spans="1:6" x14ac:dyDescent="0.2">
      <c r="A60" s="104" t="s">
        <v>192</v>
      </c>
      <c r="B60" s="90">
        <f>B26*'Page 3-Assumptions'!G24</f>
        <v>69076.681739999985</v>
      </c>
      <c r="C60" s="173"/>
      <c r="D60" s="135"/>
      <c r="E60" s="72">
        <f t="shared" si="1"/>
        <v>69076.681739999985</v>
      </c>
      <c r="F60" s="128"/>
    </row>
    <row r="61" spans="1:6" x14ac:dyDescent="0.2">
      <c r="A61" s="125" t="s">
        <v>26</v>
      </c>
      <c r="B61" s="90">
        <f>'Page 3-Assumptions'!$B$46*'Page 1-Enrollment Plan'!$F$20*0.8</f>
        <v>37296</v>
      </c>
      <c r="C61" s="173"/>
      <c r="D61" s="135"/>
      <c r="E61" s="72">
        <f t="shared" si="1"/>
        <v>37296</v>
      </c>
      <c r="F61" s="128"/>
    </row>
    <row r="62" spans="1:6" x14ac:dyDescent="0.2">
      <c r="A62" s="125" t="s">
        <v>27</v>
      </c>
      <c r="B62" s="90">
        <f>E5*'Page 3-Assumptions'!$B$47</f>
        <v>11835</v>
      </c>
      <c r="C62" s="173"/>
      <c r="D62" s="135"/>
      <c r="E62" s="72">
        <f t="shared" si="1"/>
        <v>11835</v>
      </c>
      <c r="F62" s="128"/>
    </row>
    <row r="63" spans="1:6" x14ac:dyDescent="0.2">
      <c r="A63" s="125" t="s">
        <v>41</v>
      </c>
      <c r="B63" s="90">
        <f>E5*'Page 3-Assumptions'!$B$48</f>
        <v>7890</v>
      </c>
      <c r="C63" s="173"/>
      <c r="D63" s="135"/>
      <c r="E63" s="72">
        <f t="shared" si="1"/>
        <v>7890</v>
      </c>
      <c r="F63" s="128"/>
    </row>
    <row r="64" spans="1:6" x14ac:dyDescent="0.2">
      <c r="A64" s="125" t="s">
        <v>28</v>
      </c>
      <c r="B64" s="258">
        <f>624*('Page 1-Enrollment Plan'!D$20-'Page 1-Enrollment Plan'!C$20)</f>
        <v>50544</v>
      </c>
      <c r="C64" s="173"/>
      <c r="D64" s="138"/>
      <c r="E64" s="72">
        <f t="shared" si="1"/>
        <v>50544</v>
      </c>
      <c r="F64" s="128" t="s">
        <v>76</v>
      </c>
    </row>
    <row r="65" spans="1:6" x14ac:dyDescent="0.2">
      <c r="A65" s="125" t="s">
        <v>29</v>
      </c>
      <c r="B65" s="258">
        <f>'Page 8-Year 4'!$B65*1.1</f>
        <v>1815.0000000000005</v>
      </c>
      <c r="C65" s="173"/>
      <c r="D65" s="135"/>
      <c r="E65" s="72">
        <f t="shared" si="1"/>
        <v>1815.0000000000005</v>
      </c>
      <c r="F65" s="128"/>
    </row>
    <row r="66" spans="1:6" x14ac:dyDescent="0.2">
      <c r="A66" s="104" t="s">
        <v>191</v>
      </c>
      <c r="B66" s="258">
        <f>'Page 8-Year 4'!$B66*1.5</f>
        <v>0</v>
      </c>
      <c r="C66" s="173"/>
      <c r="D66" s="173"/>
      <c r="E66" s="72">
        <f t="shared" si="1"/>
        <v>0</v>
      </c>
      <c r="F66" s="128"/>
    </row>
    <row r="67" spans="1:6" x14ac:dyDescent="0.2">
      <c r="A67" s="125" t="s">
        <v>30</v>
      </c>
      <c r="B67" s="258">
        <v>20000</v>
      </c>
      <c r="C67" s="173"/>
      <c r="D67" s="135"/>
      <c r="E67" s="72">
        <f t="shared" si="1"/>
        <v>20000</v>
      </c>
      <c r="F67" s="128"/>
    </row>
    <row r="68" spans="1:6" x14ac:dyDescent="0.2">
      <c r="A68" s="125" t="s">
        <v>31</v>
      </c>
      <c r="B68" s="258">
        <f>('Page 1-Enrollment Plan'!C$20-'Page 1-Enrollment Plan'!B$20)*180+('Page 2-Staffing Plan'!D$37-'Page 2-Staffing Plan'!C$37)*500+3500</f>
        <v>-10800</v>
      </c>
      <c r="C68" s="173"/>
      <c r="D68" s="135"/>
      <c r="E68" s="72">
        <f t="shared" si="1"/>
        <v>-10800</v>
      </c>
      <c r="F68" s="128"/>
    </row>
    <row r="69" spans="1:6" x14ac:dyDescent="0.2">
      <c r="A69" s="125" t="s">
        <v>32</v>
      </c>
      <c r="B69" s="90">
        <f>'Page 3-Assumptions'!$B$49*'Page 1-Enrollment Plan'!F20</f>
        <v>15540</v>
      </c>
      <c r="C69" s="173"/>
      <c r="D69" s="135"/>
      <c r="E69" s="72">
        <f t="shared" si="1"/>
        <v>15540</v>
      </c>
      <c r="F69" s="128"/>
    </row>
    <row r="70" spans="1:6" x14ac:dyDescent="0.2">
      <c r="A70" s="125" t="s">
        <v>43</v>
      </c>
      <c r="B70" s="173"/>
      <c r="C70" s="173"/>
      <c r="D70" s="135"/>
      <c r="E70" s="72">
        <f t="shared" si="1"/>
        <v>0</v>
      </c>
      <c r="F70" s="128"/>
    </row>
    <row r="71" spans="1:6" x14ac:dyDescent="0.2">
      <c r="A71" s="125" t="s">
        <v>33</v>
      </c>
      <c r="B71" s="258">
        <f>'Page 8-Year 4'!$B71*('Page 1-Enrollment Plan'!F$20/'Page 1-Enrollment Plan'!E$20)</f>
        <v>7705.7851239669417</v>
      </c>
      <c r="C71" s="173"/>
      <c r="D71" s="135"/>
      <c r="E71" s="72">
        <f t="shared" si="1"/>
        <v>7705.7851239669417</v>
      </c>
      <c r="F71" s="128"/>
    </row>
    <row r="72" spans="1:6" x14ac:dyDescent="0.2">
      <c r="A72" s="104" t="s">
        <v>34</v>
      </c>
      <c r="B72" s="258">
        <f>'Page 8-Year 4'!$B72*('Page 1-Enrollment Plan'!C$20/'Page 1-Enrollment Plan'!B$20)</f>
        <v>0</v>
      </c>
      <c r="C72" s="173"/>
      <c r="D72" s="137"/>
      <c r="E72" s="72">
        <f t="shared" si="1"/>
        <v>0</v>
      </c>
      <c r="F72" s="128"/>
    </row>
    <row r="73" spans="1:6" x14ac:dyDescent="0.2">
      <c r="A73" s="218" t="s">
        <v>40</v>
      </c>
      <c r="B73" s="225">
        <f>SUM(B31:B72)</f>
        <v>7175839.0891789431</v>
      </c>
      <c r="C73" s="225">
        <f>SUM(C31:C72)</f>
        <v>652547.76843231998</v>
      </c>
      <c r="D73" s="225">
        <f>SUM(D31:D72)</f>
        <v>0</v>
      </c>
      <c r="E73" s="225">
        <f>SUM(E31:E72)</f>
        <v>7828386.8576112632</v>
      </c>
      <c r="F73" s="128"/>
    </row>
    <row r="74" spans="1:6" x14ac:dyDescent="0.2">
      <c r="A74" s="110"/>
      <c r="B74" s="21"/>
      <c r="C74" s="21"/>
      <c r="D74" s="21"/>
      <c r="E74" s="4"/>
      <c r="F74" s="128"/>
    </row>
    <row r="75" spans="1:6" x14ac:dyDescent="0.2">
      <c r="A75" s="219" t="s">
        <v>82</v>
      </c>
      <c r="B75" s="213">
        <f>B28-B73</f>
        <v>374160.74301033188</v>
      </c>
      <c r="C75" s="213">
        <f>C28-C73</f>
        <v>-450174.58661413816</v>
      </c>
      <c r="D75" s="213">
        <f>D28-D73</f>
        <v>0</v>
      </c>
      <c r="E75" s="213">
        <f>E28-E73</f>
        <v>-76013.84360380657</v>
      </c>
      <c r="F75" s="128"/>
    </row>
    <row r="76" spans="1:6" x14ac:dyDescent="0.2">
      <c r="A76" s="110"/>
      <c r="B76" s="21"/>
      <c r="C76" s="21"/>
      <c r="D76" s="21"/>
      <c r="E76" s="4"/>
      <c r="F76" s="128"/>
    </row>
    <row r="77" spans="1:6" x14ac:dyDescent="0.2">
      <c r="A77" s="109" t="s">
        <v>175</v>
      </c>
      <c r="B77" s="21"/>
      <c r="C77" s="21"/>
      <c r="D77" s="24"/>
      <c r="E77" s="4"/>
      <c r="F77" s="128"/>
    </row>
    <row r="78" spans="1:6" x14ac:dyDescent="0.2">
      <c r="A78" s="232" t="s">
        <v>187</v>
      </c>
      <c r="B78" s="21">
        <v>0</v>
      </c>
      <c r="C78" s="21"/>
      <c r="D78" s="24"/>
      <c r="E78" s="4">
        <f>B78+C78+D78</f>
        <v>0</v>
      </c>
      <c r="F78" s="128"/>
    </row>
    <row r="79" spans="1:6" x14ac:dyDescent="0.2">
      <c r="A79" s="111" t="s">
        <v>136</v>
      </c>
      <c r="B79" s="231">
        <f>-(3%*(B28-((SUM(B15:B21)))))+'Page 8-Year 4'!E84</f>
        <v>-11704.641706720577</v>
      </c>
      <c r="C79" s="21"/>
      <c r="D79" s="21"/>
      <c r="E79" s="4">
        <f>SUM(B79:D79)</f>
        <v>-11704.641706720577</v>
      </c>
      <c r="F79" s="128"/>
    </row>
    <row r="80" spans="1:6" x14ac:dyDescent="0.2">
      <c r="A80" s="218" t="s">
        <v>45</v>
      </c>
      <c r="B80" s="221">
        <f>SUM(B75:B79)</f>
        <v>362456.1013036113</v>
      </c>
      <c r="C80" s="221">
        <f>SUM(C75:C79)</f>
        <v>-450174.58661413816</v>
      </c>
      <c r="D80" s="221">
        <f>SUM(D75:D79)</f>
        <v>0</v>
      </c>
      <c r="E80" s="221">
        <f>SUM(E75:E79)</f>
        <v>-87718.485310527147</v>
      </c>
      <c r="F80" s="128"/>
    </row>
    <row r="81" spans="1:6" ht="15" x14ac:dyDescent="0.25">
      <c r="A81" s="119"/>
      <c r="B81" s="80"/>
      <c r="C81" s="80"/>
      <c r="D81" s="80"/>
      <c r="E81" s="120"/>
      <c r="F81" s="130"/>
    </row>
    <row r="82" spans="1:6" ht="15" x14ac:dyDescent="0.25">
      <c r="A82" s="110" t="s">
        <v>95</v>
      </c>
      <c r="B82" s="80"/>
      <c r="C82" s="80"/>
      <c r="D82" s="80"/>
      <c r="E82" s="28">
        <f>'Page 9-Year 5'!E83</f>
        <v>258893.59648670722</v>
      </c>
      <c r="F82" s="130"/>
    </row>
    <row r="83" spans="1:6" ht="15" x14ac:dyDescent="0.25">
      <c r="A83" s="110" t="s">
        <v>96</v>
      </c>
      <c r="B83" s="80"/>
      <c r="C83" s="80"/>
      <c r="D83" s="80"/>
      <c r="E83" s="28">
        <f>E75+E78+E82</f>
        <v>182879.75288290065</v>
      </c>
      <c r="F83" s="130"/>
    </row>
    <row r="84" spans="1:6" ht="15" x14ac:dyDescent="0.25">
      <c r="A84" s="111" t="s">
        <v>97</v>
      </c>
      <c r="B84" s="80"/>
      <c r="C84" s="80"/>
      <c r="D84" s="80"/>
      <c r="E84" s="24">
        <f>'Page 8-Year 4'!E84-E79</f>
        <v>216960.72996567824</v>
      </c>
      <c r="F84" s="130"/>
    </row>
    <row r="85" spans="1:6" ht="15" x14ac:dyDescent="0.25">
      <c r="A85" s="111" t="s">
        <v>98</v>
      </c>
      <c r="B85" s="80"/>
      <c r="C85" s="80"/>
      <c r="D85" s="80"/>
      <c r="E85" s="24">
        <f>E83-E84</f>
        <v>-34080.977082777594</v>
      </c>
      <c r="F85" s="130"/>
    </row>
    <row r="86" spans="1:6" x14ac:dyDescent="0.2">
      <c r="A86" s="112" t="s">
        <v>99</v>
      </c>
      <c r="B86" s="14"/>
      <c r="C86" s="14"/>
      <c r="D86" s="14"/>
      <c r="E86" s="113">
        <f>E85/E73</f>
        <v>-4.3535121223144289E-3</v>
      </c>
      <c r="F86" s="130"/>
    </row>
    <row r="87" spans="1:6" x14ac:dyDescent="0.2">
      <c r="A87" s="117"/>
      <c r="B87" s="68"/>
      <c r="C87" s="68"/>
      <c r="D87" s="68"/>
      <c r="E87" s="69"/>
      <c r="F87" s="131"/>
    </row>
  </sheetData>
  <mergeCells count="1">
    <mergeCell ref="B3:E3"/>
  </mergeCells>
  <printOptions horizontalCentered="1"/>
  <pageMargins left="0.25" right="0.25" top="0.42" bottom="0.69" header="0.25" footer="0.73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04"/>
  <sheetViews>
    <sheetView showGridLines="0" view="pageBreakPreview" topLeftCell="A65" zoomScaleNormal="80" zoomScaleSheetLayoutView="100" workbookViewId="0">
      <selection activeCell="C15" sqref="C15"/>
    </sheetView>
  </sheetViews>
  <sheetFormatPr defaultColWidth="11.42578125" defaultRowHeight="12.75" x14ac:dyDescent="0.2"/>
  <cols>
    <col min="1" max="1" width="36.5703125" style="1" customWidth="1"/>
    <col min="2" max="2" width="11" style="1" hidden="1" customWidth="1"/>
    <col min="3" max="8" width="11" style="1" customWidth="1"/>
    <col min="9" max="16384" width="11.42578125" style="1"/>
  </cols>
  <sheetData>
    <row r="1" spans="1:8" ht="18.75" x14ac:dyDescent="0.3">
      <c r="A1" s="39" t="str">
        <f>'Page 3-Assumptions'!A1</f>
        <v>Colorado Military Academy</v>
      </c>
      <c r="B1" s="15"/>
      <c r="C1" s="15"/>
      <c r="D1" s="15"/>
      <c r="E1" s="15"/>
      <c r="F1" s="15"/>
      <c r="G1" s="15"/>
      <c r="H1" s="15"/>
    </row>
    <row r="2" spans="1:8" ht="18.75" x14ac:dyDescent="0.3">
      <c r="A2" s="26" t="s">
        <v>85</v>
      </c>
      <c r="B2" s="14"/>
      <c r="C2" s="14"/>
      <c r="D2" s="14"/>
      <c r="E2" s="14"/>
      <c r="F2" s="14"/>
      <c r="G2" s="14"/>
      <c r="H2" s="14"/>
    </row>
    <row r="3" spans="1:8" ht="5.25" customHeight="1" x14ac:dyDescent="0.3">
      <c r="A3" s="26"/>
      <c r="B3" s="14"/>
      <c r="C3" s="14" t="s">
        <v>76</v>
      </c>
      <c r="D3" s="14"/>
      <c r="E3" s="14"/>
      <c r="F3" s="14"/>
      <c r="G3" s="14"/>
      <c r="H3" s="14"/>
    </row>
    <row r="4" spans="1:8" s="42" customFormat="1" ht="20.25" customHeight="1" x14ac:dyDescent="0.2">
      <c r="A4" s="40"/>
      <c r="B4" s="41" t="s">
        <v>50</v>
      </c>
      <c r="C4" s="41" t="s">
        <v>46</v>
      </c>
      <c r="D4" s="41" t="s">
        <v>47</v>
      </c>
      <c r="E4" s="41" t="s">
        <v>48</v>
      </c>
      <c r="F4" s="41" t="s">
        <v>49</v>
      </c>
      <c r="G4" s="41" t="s">
        <v>60</v>
      </c>
      <c r="H4" s="41" t="s">
        <v>446</v>
      </c>
    </row>
    <row r="5" spans="1:8" s="42" customFormat="1" ht="12" x14ac:dyDescent="0.2">
      <c r="A5" s="61" t="s">
        <v>89</v>
      </c>
      <c r="B5" s="41"/>
      <c r="C5" s="43">
        <f>'Page 5-Year 1'!E5</f>
        <v>574</v>
      </c>
      <c r="D5" s="43">
        <f>'Page 6-Year 2'!E5</f>
        <v>524</v>
      </c>
      <c r="E5" s="43">
        <f>'Page 7-Year 3'!E5</f>
        <v>605</v>
      </c>
      <c r="F5" s="43">
        <f>'Page 8-Year 4'!E5</f>
        <v>761</v>
      </c>
      <c r="G5" s="43">
        <f>'Page 9-Year 5'!E5</f>
        <v>777</v>
      </c>
      <c r="H5" s="43">
        <f>'Page 9-Year 5'!F5</f>
        <v>0</v>
      </c>
    </row>
    <row r="6" spans="1:8" s="42" customFormat="1" ht="12" x14ac:dyDescent="0.2">
      <c r="A6" s="61" t="s">
        <v>59</v>
      </c>
      <c r="B6" s="43" t="str">
        <f>'Page 4-Year 0'!E6</f>
        <v>N/A</v>
      </c>
      <c r="C6" s="43">
        <f>'Page 5-Year 1'!E6</f>
        <v>543.76</v>
      </c>
      <c r="D6" s="43">
        <f>'Page 6-Year 2'!E6</f>
        <v>524</v>
      </c>
      <c r="E6" s="43">
        <f>'Page 7-Year 3'!E6</f>
        <v>605</v>
      </c>
      <c r="F6" s="43">
        <f>'Page 8-Year 4'!E6</f>
        <v>761</v>
      </c>
      <c r="G6" s="43">
        <f>'Page 9-Year 5'!E6</f>
        <v>777</v>
      </c>
      <c r="H6" s="43">
        <f>'Page 9-Year 5'!F6</f>
        <v>0</v>
      </c>
    </row>
    <row r="7" spans="1:8" s="42" customFormat="1" ht="13.5" customHeight="1" x14ac:dyDescent="0.2">
      <c r="A7" s="40" t="s">
        <v>37</v>
      </c>
      <c r="B7" s="276"/>
      <c r="C7" s="44"/>
      <c r="D7" s="44"/>
      <c r="E7" s="44"/>
      <c r="F7" s="45"/>
      <c r="G7" s="44"/>
      <c r="H7" s="44"/>
    </row>
    <row r="8" spans="1:8" s="48" customFormat="1" ht="11.25" x14ac:dyDescent="0.2">
      <c r="A8" s="177" t="s">
        <v>0</v>
      </c>
      <c r="B8" s="271">
        <f>'Page 4-Year 0'!E8</f>
        <v>0</v>
      </c>
      <c r="C8" s="47">
        <f>'Page 5-Year 1'!E8</f>
        <v>0</v>
      </c>
      <c r="D8" s="47">
        <f>'Page 6-Year 2'!E8</f>
        <v>0</v>
      </c>
      <c r="E8" s="47">
        <f>'Page 7-Year 3'!E8</f>
        <v>0</v>
      </c>
      <c r="F8" s="47">
        <f>'Page 8-Year 4'!E8</f>
        <v>0</v>
      </c>
      <c r="G8" s="47">
        <f>'Page 9-Year 5'!E8</f>
        <v>0</v>
      </c>
      <c r="H8" s="47">
        <f>'Page 9-Year 6 '!E8</f>
        <v>0</v>
      </c>
    </row>
    <row r="9" spans="1:8" s="48" customFormat="1" ht="11.25" x14ac:dyDescent="0.2">
      <c r="A9" s="290" t="s">
        <v>210</v>
      </c>
      <c r="B9" s="234">
        <f>'Page 4-Year 0'!E9</f>
        <v>0</v>
      </c>
      <c r="C9" s="49">
        <f>'Page 5-Year 1'!E9</f>
        <v>0</v>
      </c>
      <c r="D9" s="49">
        <f>'Page 6-Year 2'!E9</f>
        <v>0</v>
      </c>
      <c r="E9" s="49">
        <f>'Page 7-Year 3'!E9</f>
        <v>0</v>
      </c>
      <c r="F9" s="49">
        <f>'Page 8-Year 4'!E9</f>
        <v>0</v>
      </c>
      <c r="G9" s="49">
        <f>'Page 9-Year 5'!E9</f>
        <v>0</v>
      </c>
      <c r="H9" s="49">
        <f>'Page 9-Year 6 '!E9</f>
        <v>0</v>
      </c>
    </row>
    <row r="10" spans="1:8" s="48" customFormat="1" ht="11.25" x14ac:dyDescent="0.2">
      <c r="A10" s="177" t="s">
        <v>456</v>
      </c>
      <c r="B10" s="234">
        <f>'Page 4-Year 0'!E10</f>
        <v>0</v>
      </c>
      <c r="C10" s="49">
        <f>'Page 5-Year 1'!E10</f>
        <v>0</v>
      </c>
      <c r="D10" s="49">
        <f>'Page 6-Year 2'!E10</f>
        <v>12000</v>
      </c>
      <c r="E10" s="49">
        <f>'Page 7-Year 3'!E10</f>
        <v>14000</v>
      </c>
      <c r="F10" s="49">
        <f>'Page 8-Year 4'!E10</f>
        <v>15000</v>
      </c>
      <c r="G10" s="49">
        <f>'Page 9-Year 5'!E10</f>
        <v>16000</v>
      </c>
      <c r="H10" s="49">
        <f>'Page 9-Year 6 '!E10</f>
        <v>20000</v>
      </c>
    </row>
    <row r="11" spans="1:8" s="48" customFormat="1" ht="11.25" x14ac:dyDescent="0.2">
      <c r="A11" s="177" t="s">
        <v>1</v>
      </c>
      <c r="B11" s="234">
        <f>'Page 4-Year 0'!E11</f>
        <v>0</v>
      </c>
      <c r="C11" s="49">
        <f>'Page 5-Year 1'!E11</f>
        <v>0</v>
      </c>
      <c r="D11" s="49">
        <f>'Page 6-Year 2'!E11</f>
        <v>1000</v>
      </c>
      <c r="E11" s="49">
        <f>'Page 7-Year 3'!E11</f>
        <v>1000</v>
      </c>
      <c r="F11" s="49">
        <f>'Page 8-Year 4'!E11</f>
        <v>5975.4880212358385</v>
      </c>
      <c r="G11" s="49">
        <f>'Page 9-Year 5'!E11</f>
        <v>5416.9021868259651</v>
      </c>
      <c r="H11" s="49">
        <f>'Page 9-Year 6 '!E11</f>
        <v>5177.871929734144</v>
      </c>
    </row>
    <row r="12" spans="1:8" s="48" customFormat="1" ht="11.25" x14ac:dyDescent="0.2">
      <c r="A12" s="177" t="s">
        <v>195</v>
      </c>
      <c r="B12" s="234">
        <f>'Page 4-Year 0'!E12</f>
        <v>0</v>
      </c>
      <c r="C12" s="49">
        <f>'Page 5-Year 1'!E12</f>
        <v>186444</v>
      </c>
      <c r="D12" s="49">
        <f>'Page 6-Year 2'!E12</f>
        <v>0</v>
      </c>
      <c r="E12" s="49">
        <f>'Page 7-Year 3'!E12</f>
        <v>0</v>
      </c>
      <c r="F12" s="49">
        <f>'Page 8-Year 4'!E12</f>
        <v>0</v>
      </c>
      <c r="G12" s="49">
        <f>'Page 9-Year 5'!E12</f>
        <v>0</v>
      </c>
      <c r="H12" s="49">
        <f>'Page 9-Year 6 '!E12</f>
        <v>0</v>
      </c>
    </row>
    <row r="13" spans="1:8" s="48" customFormat="1" ht="11.25" x14ac:dyDescent="0.2">
      <c r="A13" s="177" t="s">
        <v>2</v>
      </c>
      <c r="B13" s="234">
        <f>'Page 4-Year 0'!E13</f>
        <v>0</v>
      </c>
      <c r="C13" s="49">
        <f>'Page 5-Year 1'!E13</f>
        <v>9001</v>
      </c>
      <c r="D13" s="49">
        <f>'Page 6-Year 2'!E13</f>
        <v>178998</v>
      </c>
      <c r="E13" s="49">
        <f>'Page 7-Year 3'!E13</f>
        <v>206667.53816793891</v>
      </c>
      <c r="F13" s="49">
        <f>'Page 8-Year 4'!E13</f>
        <v>259957.01908396944</v>
      </c>
      <c r="G13" s="49">
        <f>'Page 9-Year 5'!E13</f>
        <v>265422.60687022901</v>
      </c>
      <c r="H13" s="49">
        <f>'Page 9-Year 6 '!E13</f>
        <v>269521.79770992365</v>
      </c>
    </row>
    <row r="14" spans="1:8" s="48" customFormat="1" ht="11.25" x14ac:dyDescent="0.2">
      <c r="A14" s="177" t="s">
        <v>3</v>
      </c>
      <c r="B14" s="234">
        <f>'Page 4-Year 0'!E14</f>
        <v>0</v>
      </c>
      <c r="C14" s="49">
        <f>'Page 5-Year 1'!E14</f>
        <v>72000</v>
      </c>
      <c r="D14" s="49">
        <f>'Page 6-Year 2'!E14</f>
        <v>20000</v>
      </c>
      <c r="E14" s="49">
        <f>'Page 7-Year 3'!E14</f>
        <v>23091.603053435116</v>
      </c>
      <c r="F14" s="49">
        <f>'Page 8-Year 4'!E14</f>
        <v>29045.801526717558</v>
      </c>
      <c r="G14" s="49">
        <f>'Page 9-Year 5'!E14</f>
        <v>29656.488549618323</v>
      </c>
      <c r="H14" s="49">
        <f>'Page 9-Year 6 '!E14</f>
        <v>29656.488549618323</v>
      </c>
    </row>
    <row r="15" spans="1:8" s="48" customFormat="1" ht="11.25" x14ac:dyDescent="0.2">
      <c r="A15" s="178" t="s">
        <v>4</v>
      </c>
      <c r="B15" s="234">
        <f>'Page 4-Year 0'!E15</f>
        <v>600000</v>
      </c>
      <c r="C15" s="49">
        <f>'Page 5-Year 1'!E15</f>
        <v>75000</v>
      </c>
      <c r="D15" s="49">
        <f>'Page 6-Year 2'!E15</f>
        <v>32000</v>
      </c>
      <c r="E15" s="49">
        <f>'Page 7-Year 3'!E15</f>
        <v>37000</v>
      </c>
      <c r="F15" s="49">
        <f>'Page 8-Year 4'!E15</f>
        <v>30000</v>
      </c>
      <c r="G15" s="49">
        <f>'Page 9-Year 5'!E15</f>
        <v>31000</v>
      </c>
      <c r="H15" s="49">
        <f>'Page 9-Year 6 '!E15</f>
        <v>31000</v>
      </c>
    </row>
    <row r="16" spans="1:8" s="48" customFormat="1" ht="11.25" x14ac:dyDescent="0.2">
      <c r="A16" s="178" t="s">
        <v>5</v>
      </c>
      <c r="B16" s="234">
        <f>'Page 4-Year 0'!E16</f>
        <v>0</v>
      </c>
      <c r="C16" s="49">
        <f>'Page 5-Year 1'!E16</f>
        <v>136608</v>
      </c>
      <c r="D16" s="49">
        <f>'Page 6-Year 2'!E16</f>
        <v>136333</v>
      </c>
      <c r="E16" s="49">
        <f>'Page 7-Year 3'!E16</f>
        <v>151250</v>
      </c>
      <c r="F16" s="49">
        <f>'Page 8-Year 4'!E16</f>
        <v>190250</v>
      </c>
      <c r="G16" s="49">
        <f>'Page 9-Year 5'!E16</f>
        <v>194250</v>
      </c>
      <c r="H16" s="49">
        <f>'Page 9-Year 6 '!E16</f>
        <v>197250</v>
      </c>
    </row>
    <row r="17" spans="1:8" s="48" customFormat="1" ht="11.25" x14ac:dyDescent="0.2">
      <c r="A17" s="178" t="s">
        <v>232</v>
      </c>
      <c r="B17" s="234">
        <f>'Page 4-Year 0'!E17</f>
        <v>0</v>
      </c>
      <c r="C17" s="49">
        <f>'Page 5-Year 1'!E17</f>
        <v>53000</v>
      </c>
      <c r="D17" s="49">
        <f>'Page 6-Year 2'!E17</f>
        <v>65448</v>
      </c>
      <c r="E17" s="49">
        <f>'Page 7-Year 3'!E17</f>
        <v>66550</v>
      </c>
      <c r="F17" s="49">
        <f>'Page 8-Year 4'!E17</f>
        <v>83710</v>
      </c>
      <c r="G17" s="49">
        <f>'Page 9-Year 5'!E17</f>
        <v>85470</v>
      </c>
      <c r="H17" s="49">
        <f>'Page 9-Year 6 '!E17</f>
        <v>88060</v>
      </c>
    </row>
    <row r="18" spans="1:8" s="48" customFormat="1" ht="11.25" x14ac:dyDescent="0.2">
      <c r="A18" s="177" t="s">
        <v>234</v>
      </c>
      <c r="B18" s="234">
        <f>'Page 4-Year 0'!E18</f>
        <v>0</v>
      </c>
      <c r="C18" s="49">
        <f>'Page 5-Year 1'!E18</f>
        <v>9000</v>
      </c>
      <c r="D18" s="49">
        <f>'Page 6-Year 2'!E18</f>
        <v>0</v>
      </c>
      <c r="E18" s="49">
        <f>'Page 7-Year 3'!E18</f>
        <v>2571.25</v>
      </c>
      <c r="F18" s="49">
        <f>'Page 8-Year 4'!E18</f>
        <v>3234.25</v>
      </c>
      <c r="G18" s="49">
        <f>'Page 9-Year 5'!E18</f>
        <v>3302.25</v>
      </c>
      <c r="H18" s="49">
        <f>'Page 9-Year 6 '!E18</f>
        <v>3302.25</v>
      </c>
    </row>
    <row r="19" spans="1:8" s="48" customFormat="1" ht="11.25" x14ac:dyDescent="0.2">
      <c r="A19" s="177" t="s">
        <v>188</v>
      </c>
      <c r="B19" s="234">
        <f>'Page 4-Year 0'!E19</f>
        <v>0</v>
      </c>
      <c r="C19" s="49">
        <f>'Page 5-Year 1'!E19</f>
        <v>500</v>
      </c>
      <c r="D19" s="49">
        <f>'Page 6-Year 2'!E19</f>
        <v>1286</v>
      </c>
      <c r="E19" s="49">
        <f>'Page 7-Year 3'!E19</f>
        <v>1407.5</v>
      </c>
      <c r="F19" s="49">
        <f>'Page 8-Year 4'!E19</f>
        <v>1641.5</v>
      </c>
      <c r="G19" s="49">
        <f>'Page 9-Year 5'!E19</f>
        <v>1665.5</v>
      </c>
      <c r="H19" s="49">
        <f>'Page 9-Year 6 '!E19</f>
        <v>1665.5</v>
      </c>
    </row>
    <row r="20" spans="1:8" s="48" customFormat="1" ht="11.25" x14ac:dyDescent="0.2">
      <c r="A20" s="177" t="s">
        <v>196</v>
      </c>
      <c r="B20" s="234">
        <f>'Page 4-Year 0'!E20</f>
        <v>0</v>
      </c>
      <c r="C20" s="49">
        <f>'Page 5-Year 1'!E20</f>
        <v>0</v>
      </c>
      <c r="D20" s="49">
        <f>'Page 6-Year 2'!E20</f>
        <v>0</v>
      </c>
      <c r="E20" s="49">
        <f>'Page 7-Year 3'!E20</f>
        <v>0</v>
      </c>
      <c r="F20" s="49">
        <f>'Page 8-Year 4'!E20</f>
        <v>0</v>
      </c>
      <c r="G20" s="49">
        <f>'Page 9-Year 5'!E20</f>
        <v>0</v>
      </c>
      <c r="H20" s="49">
        <f>'Page 9-Year 6 '!E20</f>
        <v>0</v>
      </c>
    </row>
    <row r="21" spans="1:8" s="48" customFormat="1" ht="11.25" x14ac:dyDescent="0.2">
      <c r="A21" s="177" t="s">
        <v>179</v>
      </c>
      <c r="B21" s="234">
        <f>'Page 4-Year 0'!E21</f>
        <v>0</v>
      </c>
      <c r="C21" s="49">
        <f>'Page 5-Year 1'!E21</f>
        <v>80825</v>
      </c>
      <c r="D21" s="49">
        <f>'Page 6-Year 2'!E21</f>
        <v>93626</v>
      </c>
      <c r="E21" s="49">
        <f>'Page 7-Year 3'!E21</f>
        <v>58080</v>
      </c>
      <c r="F21" s="49">
        <f>'Page 8-Year 4'!E21</f>
        <v>73056</v>
      </c>
      <c r="G21" s="49">
        <f>'Page 9-Year 5'!E21</f>
        <v>74592</v>
      </c>
      <c r="H21" s="49">
        <f>'Page 9-Year 6 '!E21</f>
        <v>76852.363636363632</v>
      </c>
    </row>
    <row r="22" spans="1:8" s="48" customFormat="1" ht="11.25" x14ac:dyDescent="0.2">
      <c r="A22" s="177" t="s">
        <v>233</v>
      </c>
      <c r="B22" s="234">
        <f>'Page 4-Year 0'!E22</f>
        <v>0</v>
      </c>
      <c r="C22" s="49">
        <f>'Page 5-Year 1'!E22</f>
        <v>82721</v>
      </c>
      <c r="D22" s="49">
        <f>'Page 6-Year 2'!E22</f>
        <v>91045</v>
      </c>
      <c r="E22" s="49">
        <f>'Page 7-Year 3'!E22</f>
        <v>90750</v>
      </c>
      <c r="F22" s="49">
        <f>'Page 8-Year 4'!E22</f>
        <v>114150</v>
      </c>
      <c r="G22" s="49">
        <f>'Page 9-Year 5'!E22</f>
        <v>116550</v>
      </c>
      <c r="H22" s="49">
        <f>'Page 9-Year 6 '!E22</f>
        <v>120081.81818181818</v>
      </c>
    </row>
    <row r="23" spans="1:8" s="48" customFormat="1" ht="11.25" x14ac:dyDescent="0.2">
      <c r="A23" s="177" t="s">
        <v>180</v>
      </c>
      <c r="B23" s="234">
        <f>'Page 4-Year 0'!E23</f>
        <v>0</v>
      </c>
      <c r="C23" s="49">
        <f>'Page 5-Year 1'!E23</f>
        <v>1578.5</v>
      </c>
      <c r="D23" s="49">
        <f>'Page 6-Year 2'!E23</f>
        <v>1578.5</v>
      </c>
      <c r="E23" s="49">
        <f>'Page 7-Year 3'!E23</f>
        <v>1663.75</v>
      </c>
      <c r="F23" s="49">
        <f>'Page 8-Year 4'!E23</f>
        <v>2092.75</v>
      </c>
      <c r="G23" s="49">
        <f>'Page 9-Year 5'!E23</f>
        <v>2136.75</v>
      </c>
      <c r="H23" s="49">
        <f>'Page 9-Year 6 '!E23</f>
        <v>2136.75</v>
      </c>
    </row>
    <row r="24" spans="1:8" s="48" customFormat="1" ht="11.25" x14ac:dyDescent="0.2">
      <c r="A24" s="177" t="s">
        <v>197</v>
      </c>
      <c r="B24" s="234">
        <f>'Page 4-Year 0'!E24</f>
        <v>0</v>
      </c>
      <c r="C24" s="49">
        <f>'Page 5-Year 1'!E24</f>
        <v>0</v>
      </c>
      <c r="D24" s="49">
        <f>'Page 6-Year 2'!E24</f>
        <v>35000</v>
      </c>
      <c r="E24" s="49">
        <f>'Page 7-Year 3'!E24</f>
        <v>0</v>
      </c>
      <c r="F24" s="49">
        <f>'Page 8-Year 4'!E24</f>
        <v>0</v>
      </c>
      <c r="G24" s="57">
        <f>'Page 9-Year 5'!E24</f>
        <v>0</v>
      </c>
      <c r="H24" s="57">
        <f>'Page 9-Year 6 '!E24</f>
        <v>0</v>
      </c>
    </row>
    <row r="25" spans="1:8" s="48" customFormat="1" ht="11.25" x14ac:dyDescent="0.2">
      <c r="A25" s="177" t="s">
        <v>181</v>
      </c>
      <c r="B25" s="234">
        <f>'Page 4-Year 0'!E25</f>
        <v>0</v>
      </c>
      <c r="C25" s="49">
        <f>'Page 5-Year 1'!E25</f>
        <v>340845</v>
      </c>
      <c r="D25" s="49">
        <f>'Page 6-Year 2'!E25</f>
        <v>0</v>
      </c>
      <c r="E25" s="49">
        <f>'Page 7-Year 3'!E25</f>
        <v>0</v>
      </c>
      <c r="F25" s="49">
        <f>'Page 8-Year 4'!E25</f>
        <v>0</v>
      </c>
      <c r="G25" s="57">
        <f>'Page 9-Year 5'!E25</f>
        <v>0</v>
      </c>
      <c r="H25" s="57">
        <f>'Page 9-Year 6 '!E25</f>
        <v>0</v>
      </c>
    </row>
    <row r="26" spans="1:8" s="48" customFormat="1" ht="11.25" x14ac:dyDescent="0.2">
      <c r="A26" s="177" t="s">
        <v>131</v>
      </c>
      <c r="B26" s="234">
        <f>'Page 4-Year 0'!E26</f>
        <v>0</v>
      </c>
      <c r="C26" s="49">
        <f>'Page 5-Year 1'!E26</f>
        <v>4296791.5199999996</v>
      </c>
      <c r="D26" s="49">
        <f>'Page 6-Year 2'!E26</f>
        <v>4323000</v>
      </c>
      <c r="E26" s="49">
        <f>'Page 7-Year 3'!E26</f>
        <v>5091075</v>
      </c>
      <c r="F26" s="49">
        <f>'Page 8-Year 4'!E26</f>
        <v>6531891.2999999998</v>
      </c>
      <c r="G26" s="49">
        <f>'Page 9-Year 5'!E26</f>
        <v>6802608.5819999985</v>
      </c>
      <c r="H26" s="49">
        <f>'Page 9-Year 6 '!E26</f>
        <v>6907668.1739999987</v>
      </c>
    </row>
    <row r="27" spans="1:8" s="48" customFormat="1" ht="12" thickBot="1" x14ac:dyDescent="0.25">
      <c r="A27" s="178" t="s">
        <v>182</v>
      </c>
      <c r="B27" s="270">
        <f>'Page 4-Year 0'!E27</f>
        <v>0</v>
      </c>
      <c r="C27" s="50">
        <f>'Page 5-Year 1'!E27</f>
        <v>0</v>
      </c>
      <c r="D27" s="50">
        <f>'Page 6-Year 2'!E27</f>
        <v>41094</v>
      </c>
      <c r="E27" s="50">
        <f>'Page 7-Year 3'!E27</f>
        <v>0</v>
      </c>
      <c r="F27" s="50">
        <f>'Page 8-Year 4'!E27</f>
        <v>0</v>
      </c>
      <c r="G27" s="50">
        <f>'Page 9-Year 5'!E27</f>
        <v>0</v>
      </c>
      <c r="H27" s="50">
        <f>'Page 9-Year 6 '!E27</f>
        <v>0</v>
      </c>
    </row>
    <row r="28" spans="1:8" s="48" customFormat="1" ht="11.25" x14ac:dyDescent="0.2">
      <c r="A28" s="51" t="s">
        <v>38</v>
      </c>
      <c r="B28" s="47">
        <f t="shared" ref="B28:G28" si="0">SUM(B8:B27)</f>
        <v>600000</v>
      </c>
      <c r="C28" s="47">
        <f t="shared" si="0"/>
        <v>5344314.0199999996</v>
      </c>
      <c r="D28" s="47">
        <f t="shared" si="0"/>
        <v>5032408.5</v>
      </c>
      <c r="E28" s="47">
        <f t="shared" si="0"/>
        <v>5745106.6412213743</v>
      </c>
      <c r="F28" s="47">
        <f t="shared" si="0"/>
        <v>7340004.1086319229</v>
      </c>
      <c r="G28" s="47">
        <f t="shared" si="0"/>
        <v>7628071.0796066718</v>
      </c>
      <c r="H28" s="47">
        <f t="shared" ref="H28" si="1">SUM(H8:H27)</f>
        <v>7752373.0140074566</v>
      </c>
    </row>
    <row r="29" spans="1:8" s="48" customFormat="1" ht="11.25" x14ac:dyDescent="0.2">
      <c r="A29" s="52"/>
      <c r="B29" s="49"/>
      <c r="C29" s="49"/>
      <c r="D29" s="49"/>
      <c r="E29" s="49"/>
      <c r="F29" s="57"/>
      <c r="G29" s="49"/>
      <c r="H29" s="49"/>
    </row>
    <row r="30" spans="1:8" s="48" customFormat="1" ht="11.25" x14ac:dyDescent="0.2">
      <c r="A30" s="51" t="s">
        <v>39</v>
      </c>
      <c r="B30" s="49"/>
      <c r="C30" s="49"/>
      <c r="D30" s="49"/>
      <c r="E30" s="49"/>
      <c r="F30" s="49"/>
      <c r="G30" s="49"/>
      <c r="H30" s="49"/>
    </row>
    <row r="31" spans="1:8" s="48" customFormat="1" ht="11.25" x14ac:dyDescent="0.2">
      <c r="A31" s="371" t="s">
        <v>93</v>
      </c>
      <c r="B31" s="53">
        <f>'Page 4-Year 0'!E31</f>
        <v>68750</v>
      </c>
      <c r="C31" s="53">
        <f>'Page 5-Year 1'!E31</f>
        <v>2568380</v>
      </c>
      <c r="D31" s="53">
        <f>'Page 6-Year 2'!E31</f>
        <v>2556000</v>
      </c>
      <c r="E31" s="53">
        <f>'Page 7-Year 3'!E31</f>
        <v>2832320</v>
      </c>
      <c r="F31" s="53">
        <f>'Page 8-Year 4'!E31</f>
        <v>3848425.344</v>
      </c>
      <c r="G31" s="53">
        <f>'Page 9-Year 5'!E31</f>
        <v>3960028.2508800006</v>
      </c>
      <c r="H31" s="53">
        <f>'Page 9-Year 6 '!E31</f>
        <v>4096631.7508800006</v>
      </c>
    </row>
    <row r="32" spans="1:8" s="48" customFormat="1" ht="11.25" x14ac:dyDescent="0.2">
      <c r="A32" s="371" t="s">
        <v>90</v>
      </c>
      <c r="B32" s="49">
        <f>'Page 4-Year 0'!E32</f>
        <v>0</v>
      </c>
      <c r="C32" s="49">
        <f>'Page 5-Year 1'!E32</f>
        <v>24640</v>
      </c>
      <c r="D32" s="49">
        <f>'Page 6-Year 2'!E32</f>
        <v>29000</v>
      </c>
      <c r="E32" s="49">
        <f>'Page 7-Year 3'!E32</f>
        <v>26240</v>
      </c>
      <c r="F32" s="49">
        <f>'Page 8-Year 4'!E32</f>
        <v>30720</v>
      </c>
      <c r="G32" s="49">
        <f>'Page 9-Year 5'!E32</f>
        <v>30720</v>
      </c>
      <c r="H32" s="49">
        <f>'Page 9-Year 6 '!E32</f>
        <v>30720</v>
      </c>
    </row>
    <row r="33" spans="1:8" s="48" customFormat="1" ht="11.25" x14ac:dyDescent="0.2">
      <c r="A33" s="371" t="s">
        <v>7</v>
      </c>
      <c r="B33" s="49">
        <f>'Page 4-Year 0'!E33</f>
        <v>996.87499999999989</v>
      </c>
      <c r="C33" s="49">
        <f>'Page 5-Year 1'!E33</f>
        <v>37598.79</v>
      </c>
      <c r="D33" s="49">
        <f>'Page 6-Year 2'!E33</f>
        <v>37482.5</v>
      </c>
      <c r="E33" s="49">
        <f>'Page 7-Year 3'!E33</f>
        <v>41448.648999999998</v>
      </c>
      <c r="F33" s="49">
        <f>'Page 8-Year 4'!E33</f>
        <v>56247.25</v>
      </c>
      <c r="G33" s="49">
        <f>'Page 9-Year 5'!E33</f>
        <v>57865.465000000004</v>
      </c>
      <c r="H33" s="49">
        <f>'Page 9-Year 6 '!E33</f>
        <v>59846.215750000003</v>
      </c>
    </row>
    <row r="34" spans="1:8" s="48" customFormat="1" ht="11.25" x14ac:dyDescent="0.2">
      <c r="A34" s="371" t="s">
        <v>8</v>
      </c>
      <c r="B34" s="49">
        <f>'Page 4-Year 0'!E34</f>
        <v>4262.5</v>
      </c>
      <c r="C34" s="49">
        <f>'Page 5-Year 1'!E34</f>
        <v>0</v>
      </c>
      <c r="D34" s="49">
        <f>'Page 6-Year 2'!E34</f>
        <v>0</v>
      </c>
      <c r="E34" s="49">
        <f>'Page 7-Year 3'!E34</f>
        <v>0</v>
      </c>
      <c r="F34" s="49">
        <f>'Page 8-Year 4'!E34</f>
        <v>0</v>
      </c>
      <c r="G34" s="49">
        <f>'Page 9-Year 5'!E34</f>
        <v>0</v>
      </c>
      <c r="H34" s="49">
        <f>'Page 9-Year 6 '!E34</f>
        <v>0</v>
      </c>
    </row>
    <row r="35" spans="1:8" s="48" customFormat="1" ht="11.25" x14ac:dyDescent="0.2">
      <c r="A35" s="371" t="s">
        <v>189</v>
      </c>
      <c r="B35" s="49">
        <f>'Page 4-Year 0'!E35</f>
        <v>0</v>
      </c>
      <c r="C35" s="49">
        <f>'Page 5-Year 1'!E35</f>
        <v>522493.53</v>
      </c>
      <c r="D35" s="49">
        <f>'Page 6-Year 2'!E35</f>
        <v>527340</v>
      </c>
      <c r="E35" s="49">
        <f>'Page 7-Year 3'!E35</f>
        <v>583146.23999999999</v>
      </c>
      <c r="F35" s="49">
        <f>'Page 8-Year 4'!E35</f>
        <v>791345.65017599997</v>
      </c>
      <c r="G35" s="49">
        <f>'Page 9-Year 5'!E35</f>
        <v>814112.64317952003</v>
      </c>
      <c r="H35" s="49">
        <f>'Page 9-Year 6 '!E35</f>
        <v>841979.75717952009</v>
      </c>
    </row>
    <row r="36" spans="1:8" s="48" customFormat="1" ht="11.25" x14ac:dyDescent="0.2">
      <c r="A36" s="371" t="s">
        <v>9</v>
      </c>
      <c r="B36" s="49">
        <f>'Page 4-Year 0'!E36</f>
        <v>0</v>
      </c>
      <c r="C36" s="49">
        <f>'Page 5-Year 1'!E36</f>
        <v>82000</v>
      </c>
      <c r="D36" s="49">
        <f>'Page 6-Year 2'!E36</f>
        <v>160315.848</v>
      </c>
      <c r="E36" s="49">
        <f>'Page 7-Year 3'!E36</f>
        <v>198370.62000000002</v>
      </c>
      <c r="F36" s="49">
        <f>'Page 8-Year 4'!E36</f>
        <v>243995.86259999999</v>
      </c>
      <c r="G36" s="49">
        <f>'Page 9-Year 5'!E36</f>
        <v>262444.33026000002</v>
      </c>
      <c r="H36" s="49">
        <f>'Page 9-Year 6 '!E36</f>
        <v>262444.33026000002</v>
      </c>
    </row>
    <row r="37" spans="1:8" s="48" customFormat="1" ht="11.25" x14ac:dyDescent="0.2">
      <c r="A37" s="371" t="s">
        <v>10</v>
      </c>
      <c r="B37" s="49">
        <f>'Page 4-Year 0'!E37</f>
        <v>0</v>
      </c>
      <c r="C37" s="49">
        <f>'Page 5-Year 1'!E37</f>
        <v>6240</v>
      </c>
      <c r="D37" s="49">
        <f>'Page 6-Year 2'!E37</f>
        <v>8143.0272000000014</v>
      </c>
      <c r="E37" s="49">
        <f>'Page 7-Year 3'!E37</f>
        <v>9788.0831999999991</v>
      </c>
      <c r="F37" s="49">
        <f>'Page 8-Year 4'!E37</f>
        <v>11695.361126400001</v>
      </c>
      <c r="G37" s="49">
        <f>'Page 9-Year 5'!E37</f>
        <v>12220.226113536</v>
      </c>
      <c r="H37" s="49">
        <f>'Page 9-Year 6 '!E37</f>
        <v>12220.226113536</v>
      </c>
    </row>
    <row r="38" spans="1:8" s="48" customFormat="1" ht="11.25" x14ac:dyDescent="0.2">
      <c r="A38" s="371" t="s">
        <v>11</v>
      </c>
      <c r="B38" s="49">
        <f>'Page 4-Year 0'!E38</f>
        <v>0</v>
      </c>
      <c r="C38" s="49">
        <f>'Page 5-Year 1'!E38</f>
        <v>2400</v>
      </c>
      <c r="D38" s="49">
        <f>'Page 6-Year 2'!E38</f>
        <v>2970</v>
      </c>
      <c r="E38" s="49">
        <f>'Page 7-Year 3'!E38</f>
        <v>3500</v>
      </c>
      <c r="F38" s="49">
        <f>'Page 8-Year 4'!E38</f>
        <v>4100</v>
      </c>
      <c r="G38" s="49">
        <f>'Page 9-Year 5'!E38</f>
        <v>4200</v>
      </c>
      <c r="H38" s="49">
        <f>'Page 9-Year 6 '!E38</f>
        <v>4200</v>
      </c>
    </row>
    <row r="39" spans="1:8" s="48" customFormat="1" ht="11.25" x14ac:dyDescent="0.2">
      <c r="A39" s="372" t="s">
        <v>194</v>
      </c>
      <c r="B39" s="49">
        <f>'Page 4-Year 0'!E39</f>
        <v>0</v>
      </c>
      <c r="C39" s="49">
        <f>'Page 5-Year 1'!E39</f>
        <v>22411</v>
      </c>
      <c r="D39" s="49">
        <f>'Page 6-Year 2'!E39</f>
        <v>0</v>
      </c>
      <c r="E39" s="49">
        <f>'Page 7-Year 3'!E39</f>
        <v>0</v>
      </c>
      <c r="F39" s="49">
        <f>'Page 8-Year 4'!E39</f>
        <v>0</v>
      </c>
      <c r="G39" s="49">
        <f>'Page 9-Year 5'!E39</f>
        <v>0</v>
      </c>
      <c r="H39" s="49">
        <f>'Page 9-Year 6 '!E39</f>
        <v>0</v>
      </c>
    </row>
    <row r="40" spans="1:8" s="48" customFormat="1" ht="11.25" x14ac:dyDescent="0.2">
      <c r="A40" s="371" t="s">
        <v>119</v>
      </c>
      <c r="B40" s="49">
        <f>'Page 4-Year 0'!E40</f>
        <v>0</v>
      </c>
      <c r="C40" s="49">
        <f>'Page 5-Year 1'!E40</f>
        <v>8580</v>
      </c>
      <c r="D40" s="49">
        <f>'Page 6-Year 2'!E40</f>
        <v>2700</v>
      </c>
      <c r="E40" s="49">
        <f>'Page 7-Year 3'!E40</f>
        <v>840</v>
      </c>
      <c r="F40" s="49">
        <f>'Page 8-Year 4'!E40</f>
        <v>984</v>
      </c>
      <c r="G40" s="49">
        <f>'Page 9-Year 5'!E40</f>
        <v>1008</v>
      </c>
      <c r="H40" s="49">
        <f>'Page 9-Year 6 '!E40</f>
        <v>1008</v>
      </c>
    </row>
    <row r="41" spans="1:8" s="48" customFormat="1" ht="11.25" x14ac:dyDescent="0.2">
      <c r="A41" s="371" t="s">
        <v>12</v>
      </c>
      <c r="B41" s="49">
        <f>'Page 4-Year 0'!E41</f>
        <v>0</v>
      </c>
      <c r="C41" s="49">
        <f>'Page 5-Year 1'!E41</f>
        <v>57677</v>
      </c>
      <c r="D41" s="49">
        <f>'Page 6-Year 2'!E41</f>
        <v>69000</v>
      </c>
      <c r="E41" s="49">
        <f>'Page 7-Year 3'!E41</f>
        <v>153500</v>
      </c>
      <c r="F41" s="49">
        <f>'Page 8-Year 4'!E41</f>
        <v>149296</v>
      </c>
      <c r="G41" s="49">
        <f>'Page 9-Year 5'!E41</f>
        <v>150049</v>
      </c>
      <c r="H41" s="49">
        <f>'Page 9-Year 6 '!E41</f>
        <v>150049</v>
      </c>
    </row>
    <row r="42" spans="1:8" s="48" customFormat="1" ht="11.25" x14ac:dyDescent="0.2">
      <c r="A42" s="371" t="s">
        <v>190</v>
      </c>
      <c r="B42" s="49">
        <f>'Page 4-Year 0'!E42</f>
        <v>0</v>
      </c>
      <c r="C42" s="49">
        <f>'Page 5-Year 1'!E42</f>
        <v>11337</v>
      </c>
      <c r="D42" s="49">
        <f>'Page 6-Year 2'!E42</f>
        <v>20580</v>
      </c>
      <c r="E42" s="49">
        <f>'Page 7-Year 3'!E42</f>
        <v>21780</v>
      </c>
      <c r="F42" s="49">
        <f>'Page 8-Year 4'!E42</f>
        <v>23971.5</v>
      </c>
      <c r="G42" s="49">
        <f>'Page 9-Year 5'!E42</f>
        <v>34965</v>
      </c>
      <c r="H42" s="49">
        <f>'Page 9-Year 6 '!E42</f>
        <v>35505</v>
      </c>
    </row>
    <row r="43" spans="1:8" s="48" customFormat="1" ht="11.25" x14ac:dyDescent="0.2">
      <c r="A43" s="371" t="s">
        <v>13</v>
      </c>
      <c r="B43" s="49">
        <f>'Page 4-Year 0'!E43</f>
        <v>7500</v>
      </c>
      <c r="C43" s="49">
        <f>'Page 5-Year 1'!E43</f>
        <v>30000</v>
      </c>
      <c r="D43" s="49">
        <f>'Page 6-Year 2'!E43</f>
        <v>10000</v>
      </c>
      <c r="E43" s="49">
        <f>'Page 7-Year 3'!E43</f>
        <v>11000</v>
      </c>
      <c r="F43" s="49">
        <f>'Page 8-Year 4'!E43</f>
        <v>12100.000000000002</v>
      </c>
      <c r="G43" s="49">
        <f>'Page 9-Year 5'!E43</f>
        <v>13310.000000000004</v>
      </c>
      <c r="H43" s="49">
        <f>'Page 9-Year 6 '!E43</f>
        <v>13310.000000000004</v>
      </c>
    </row>
    <row r="44" spans="1:8" s="48" customFormat="1" ht="11.25" x14ac:dyDescent="0.2">
      <c r="A44" s="371" t="s">
        <v>14</v>
      </c>
      <c r="B44" s="49">
        <f>'Page 4-Year 0'!E44</f>
        <v>0</v>
      </c>
      <c r="C44" s="49">
        <f>'Page 5-Year 1'!E44</f>
        <v>11000</v>
      </c>
      <c r="D44" s="49">
        <f>'Page 6-Year 2'!E44</f>
        <v>9000</v>
      </c>
      <c r="E44" s="49">
        <f>'Page 7-Year 3'!E44</f>
        <v>4500</v>
      </c>
      <c r="F44" s="49">
        <f>'Page 8-Year 4'!E44</f>
        <v>4950</v>
      </c>
      <c r="G44" s="49">
        <f>'Page 9-Year 5'!E44</f>
        <v>5445</v>
      </c>
      <c r="H44" s="49">
        <f>'Page 9-Year 6 '!E44</f>
        <v>5445</v>
      </c>
    </row>
    <row r="45" spans="1:8" s="48" customFormat="1" ht="11.25" x14ac:dyDescent="0.2">
      <c r="A45" s="371" t="s">
        <v>15</v>
      </c>
      <c r="B45" s="49">
        <f>'Page 4-Year 0'!E45</f>
        <v>11720</v>
      </c>
      <c r="C45" s="49">
        <f>'Page 5-Year 1'!E45</f>
        <v>107422</v>
      </c>
      <c r="D45" s="49">
        <f>'Page 6-Year 2'!E45</f>
        <v>107000</v>
      </c>
      <c r="E45" s="49">
        <f>'Page 7-Year 3'!E45</f>
        <v>53500</v>
      </c>
      <c r="F45" s="49">
        <f>'Page 8-Year 4'!E45</f>
        <v>58850.000000000007</v>
      </c>
      <c r="G45" s="49">
        <f>'Page 9-Year 5'!E45</f>
        <v>64735.000000000015</v>
      </c>
      <c r="H45" s="49">
        <f>'Page 9-Year 6 '!E45</f>
        <v>64735.000000000015</v>
      </c>
    </row>
    <row r="46" spans="1:8" s="48" customFormat="1" ht="11.25" x14ac:dyDescent="0.2">
      <c r="A46" s="371" t="s">
        <v>16</v>
      </c>
      <c r="B46" s="49">
        <f>'Page 4-Year 0'!E46</f>
        <v>0</v>
      </c>
      <c r="C46" s="49">
        <f>'Page 5-Year 1'!E46</f>
        <v>25404</v>
      </c>
      <c r="D46" s="49">
        <f>'Page 6-Year 2'!E46</f>
        <v>26420.16</v>
      </c>
      <c r="E46" s="49">
        <f>'Page 7-Year 3'!E46</f>
        <v>29062.176000000003</v>
      </c>
      <c r="F46" s="49">
        <f>'Page 8-Year 4'!E46</f>
        <v>31968.393600000007</v>
      </c>
      <c r="G46" s="49">
        <f>'Page 9-Year 5'!E46</f>
        <v>35165.232960000008</v>
      </c>
      <c r="H46" s="49">
        <f>'Page 9-Year 6 '!E46</f>
        <v>35165.232960000008</v>
      </c>
    </row>
    <row r="47" spans="1:8" s="48" customFormat="1" ht="11.25" x14ac:dyDescent="0.2">
      <c r="A47" s="46" t="s">
        <v>212</v>
      </c>
      <c r="B47" s="49">
        <f>'Page 4-Year 0'!E47</f>
        <v>0</v>
      </c>
      <c r="C47" s="49">
        <f>'Page 5-Year 1'!E47</f>
        <v>153817</v>
      </c>
      <c r="D47" s="49">
        <f>'Page 6-Year 2'!E47</f>
        <v>153817</v>
      </c>
      <c r="E47" s="49">
        <f>'Page 7-Year 3'!E47</f>
        <v>169198.7</v>
      </c>
      <c r="F47" s="49">
        <f>'Page 8-Year 4'!E47</f>
        <v>167506.71300000005</v>
      </c>
      <c r="G47" s="49">
        <f>'Page 9-Year 5'!E47</f>
        <v>184257.38430000006</v>
      </c>
      <c r="H47" s="49">
        <f>'Page 9-Year 6 '!E47</f>
        <v>165831.64587000007</v>
      </c>
    </row>
    <row r="48" spans="1:8" s="48" customFormat="1" ht="11.25" x14ac:dyDescent="0.2">
      <c r="A48" s="46" t="s">
        <v>17</v>
      </c>
      <c r="B48" s="49">
        <f>'Page 4-Year 0'!E48</f>
        <v>0</v>
      </c>
      <c r="C48" s="49">
        <f>'Page 5-Year 1'!E48</f>
        <v>50403</v>
      </c>
      <c r="D48" s="49">
        <f>'Page 6-Year 2'!E48</f>
        <v>50403</v>
      </c>
      <c r="E48" s="49">
        <f>'Page 7-Year 3'!E48</f>
        <v>49898.97</v>
      </c>
      <c r="F48" s="49">
        <f>'Page 8-Year 4'!E48</f>
        <v>49399.980300000003</v>
      </c>
      <c r="G48" s="49">
        <f>'Page 9-Year 5'!E48</f>
        <v>54339.978330000005</v>
      </c>
      <c r="H48" s="49">
        <f>'Page 9-Year 6 '!E48</f>
        <v>54339.978330000005</v>
      </c>
    </row>
    <row r="49" spans="1:8" s="48" customFormat="1" ht="11.25" x14ac:dyDescent="0.2">
      <c r="A49" s="46" t="s">
        <v>18</v>
      </c>
      <c r="B49" s="49">
        <f>'Page 4-Year 0'!E49</f>
        <v>0</v>
      </c>
      <c r="C49" s="49">
        <f>'Page 5-Year 1'!E49</f>
        <v>39000</v>
      </c>
      <c r="D49" s="49">
        <f>'Page 6-Year 2'!E49</f>
        <v>30000</v>
      </c>
      <c r="E49" s="49">
        <f>'Page 7-Year 3'!E49</f>
        <v>31200</v>
      </c>
      <c r="F49" s="49">
        <f>'Page 8-Year 4'!E49</f>
        <v>46800</v>
      </c>
      <c r="G49" s="49">
        <f>'Page 9-Year 5'!E49</f>
        <v>49140</v>
      </c>
      <c r="H49" s="49">
        <f>'Page 9-Year 6 '!E49</f>
        <v>60840</v>
      </c>
    </row>
    <row r="50" spans="1:8" s="48" customFormat="1" ht="11.25" x14ac:dyDescent="0.2">
      <c r="A50" s="46" t="s">
        <v>19</v>
      </c>
      <c r="B50" s="49">
        <f>'Page 4-Year 0'!E50</f>
        <v>37478</v>
      </c>
      <c r="C50" s="49">
        <f>'Page 5-Year 1'!E50</f>
        <v>648000</v>
      </c>
      <c r="D50" s="49">
        <f>'Page 6-Year 2'!E50</f>
        <v>744000</v>
      </c>
      <c r="E50" s="49">
        <f>'Page 7-Year 3'!E50</f>
        <v>1018215</v>
      </c>
      <c r="F50" s="49">
        <f>'Page 8-Year 4'!E50</f>
        <v>1306378.26</v>
      </c>
      <c r="G50" s="49">
        <f>'Page 9-Year 5'!E50</f>
        <v>1360521.7163999998</v>
      </c>
      <c r="H50" s="49">
        <f>'Page 9-Year 6 '!E50</f>
        <v>1381533.6347999999</v>
      </c>
    </row>
    <row r="51" spans="1:8" s="48" customFormat="1" ht="11.25" x14ac:dyDescent="0.2">
      <c r="A51" s="46" t="s">
        <v>20</v>
      </c>
      <c r="B51" s="49">
        <f>'Page 4-Year 0'!E51</f>
        <v>0</v>
      </c>
      <c r="C51" s="49">
        <f>'Page 5-Year 1'!E51</f>
        <v>0</v>
      </c>
      <c r="D51" s="49">
        <f>'Page 6-Year 2'!E51</f>
        <v>10480</v>
      </c>
      <c r="E51" s="49">
        <f>'Page 7-Year 3'!E51</f>
        <v>12100</v>
      </c>
      <c r="F51" s="49">
        <f>'Page 8-Year 4'!E51</f>
        <v>15220</v>
      </c>
      <c r="G51" s="49">
        <f>'Page 9-Year 5'!E51</f>
        <v>15540</v>
      </c>
      <c r="H51" s="49">
        <f>'Page 9-Year 6 '!E51</f>
        <v>15540</v>
      </c>
    </row>
    <row r="52" spans="1:8" s="48" customFormat="1" ht="11.25" x14ac:dyDescent="0.2">
      <c r="A52" s="46" t="s">
        <v>255</v>
      </c>
      <c r="B52" s="49">
        <f>'Page 4-Year 0'!E52</f>
        <v>0</v>
      </c>
      <c r="C52" s="49">
        <f>'Page 5-Year 1'!E52</f>
        <v>44000</v>
      </c>
      <c r="D52" s="49">
        <f>'Page 6-Year 2'!E52</f>
        <v>42000</v>
      </c>
      <c r="E52" s="49">
        <f>'Page 7-Year 3'!E52</f>
        <v>46000</v>
      </c>
      <c r="F52" s="49">
        <f>'Page 8-Year 4'!E52</f>
        <v>47000</v>
      </c>
      <c r="G52" s="49">
        <f>'Page 9-Year 5'!E52</f>
        <v>48000</v>
      </c>
      <c r="H52" s="49">
        <f>'Page 9-Year 6 '!E52</f>
        <v>49000</v>
      </c>
    </row>
    <row r="53" spans="1:8" s="48" customFormat="1" ht="11.25" x14ac:dyDescent="0.2">
      <c r="A53" s="46" t="s">
        <v>21</v>
      </c>
      <c r="B53" s="49">
        <f>'Page 4-Year 0'!E53</f>
        <v>206.25</v>
      </c>
      <c r="C53" s="49">
        <f>'Page 5-Year 1'!E53</f>
        <v>29943</v>
      </c>
      <c r="D53" s="49">
        <f>'Page 6-Year 2'!E53</f>
        <v>7755</v>
      </c>
      <c r="E53" s="49">
        <f>'Page 7-Year 3'!E53</f>
        <v>8575.68</v>
      </c>
      <c r="F53" s="49">
        <f>'Page 8-Year 4'!E53</f>
        <v>11637.436032</v>
      </c>
      <c r="G53" s="49">
        <f>'Page 9-Year 5'!E53</f>
        <v>11972.244752640003</v>
      </c>
      <c r="H53" s="49">
        <f>'Page 9-Year 6 '!E53</f>
        <v>12382.055252640002</v>
      </c>
    </row>
    <row r="54" spans="1:8" s="48" customFormat="1" ht="11.25" x14ac:dyDescent="0.2">
      <c r="A54" s="46" t="s">
        <v>22</v>
      </c>
      <c r="B54" s="49">
        <f>'Page 4-Year 0'!E54</f>
        <v>0</v>
      </c>
      <c r="C54" s="49">
        <f>'Page 5-Year 1'!E54</f>
        <v>18729</v>
      </c>
      <c r="D54" s="49">
        <f>'Page 6-Year 2'!E54</f>
        <v>16000</v>
      </c>
      <c r="E54" s="49">
        <f>'Page 7-Year 3'!E54</f>
        <v>21439.199999999997</v>
      </c>
      <c r="F54" s="49">
        <f>'Page 8-Year 4'!E54</f>
        <v>29093.590079999998</v>
      </c>
      <c r="G54" s="49">
        <f>'Page 9-Year 5'!E54</f>
        <v>29930.611881600005</v>
      </c>
      <c r="H54" s="49">
        <f>'Page 9-Year 6 '!E54</f>
        <v>30955.138131600004</v>
      </c>
    </row>
    <row r="55" spans="1:8" s="48" customFormat="1" ht="11.25" x14ac:dyDescent="0.2">
      <c r="A55" s="46" t="s">
        <v>23</v>
      </c>
      <c r="B55" s="49">
        <f>'Page 4-Year 0'!E55</f>
        <v>2050</v>
      </c>
      <c r="C55" s="49">
        <f>'Page 5-Year 1'!E55</f>
        <v>4320</v>
      </c>
      <c r="D55" s="49">
        <f>'Page 6-Year 2'!E55</f>
        <v>6480</v>
      </c>
      <c r="E55" s="49">
        <f>'Page 7-Year 3'!E55</f>
        <v>7128.0000000000009</v>
      </c>
      <c r="F55" s="49">
        <f>'Page 8-Year 4'!E55</f>
        <v>7840.800000000002</v>
      </c>
      <c r="G55" s="49">
        <f>'Page 9-Year 5'!E55</f>
        <v>8624.8800000000028</v>
      </c>
      <c r="H55" s="49">
        <f>'Page 9-Year 6 '!E55</f>
        <v>8624.8800000000028</v>
      </c>
    </row>
    <row r="56" spans="1:8" s="48" customFormat="1" ht="11.25" x14ac:dyDescent="0.2">
      <c r="A56" s="46" t="s">
        <v>24</v>
      </c>
      <c r="B56" s="49">
        <f>'Page 4-Year 0'!E56</f>
        <v>0</v>
      </c>
      <c r="C56" s="49">
        <f>'Page 5-Year 1'!E56</f>
        <v>13409</v>
      </c>
      <c r="D56" s="49">
        <f>'Page 6-Year 2'!E56</f>
        <v>2620</v>
      </c>
      <c r="E56" s="49">
        <f>'Page 7-Year 3'!E56</f>
        <v>3025</v>
      </c>
      <c r="F56" s="49">
        <f>'Page 8-Year 4'!E56</f>
        <v>3805</v>
      </c>
      <c r="G56" s="49">
        <f>'Page 9-Year 5'!E56</f>
        <v>3885</v>
      </c>
      <c r="H56" s="49">
        <f>'Page 9-Year 6 '!E56</f>
        <v>3885</v>
      </c>
    </row>
    <row r="57" spans="1:8" s="48" customFormat="1" ht="11.25" x14ac:dyDescent="0.2">
      <c r="A57" s="191" t="s">
        <v>42</v>
      </c>
      <c r="B57" s="49">
        <f>'Page 4-Year 0'!E57</f>
        <v>18800</v>
      </c>
      <c r="C57" s="49">
        <f>'Page 5-Year 1'!E57</f>
        <v>159631</v>
      </c>
      <c r="D57" s="49">
        <f>'Page 6-Year 2'!E57</f>
        <v>6550</v>
      </c>
      <c r="E57" s="49">
        <f>'Page 7-Year 3'!E57</f>
        <v>7562.5</v>
      </c>
      <c r="F57" s="49">
        <f>'Page 8-Year 4'!E57</f>
        <v>9512.5</v>
      </c>
      <c r="G57" s="49">
        <f>'Page 9-Year 5'!E57</f>
        <v>9712.5</v>
      </c>
      <c r="H57" s="49">
        <f>'Page 9-Year 6 '!E57</f>
        <v>9862.5</v>
      </c>
    </row>
    <row r="58" spans="1:8" s="48" customFormat="1" ht="11.25" x14ac:dyDescent="0.2">
      <c r="A58" s="46" t="s">
        <v>25</v>
      </c>
      <c r="B58" s="49">
        <f>'Page 4-Year 0'!E58</f>
        <v>0</v>
      </c>
      <c r="C58" s="49">
        <f>'Page 5-Year 1'!E58</f>
        <v>6284</v>
      </c>
      <c r="D58" s="49">
        <f>'Page 6-Year 2'!E58</f>
        <v>2970</v>
      </c>
      <c r="E58" s="49">
        <f>'Page 7-Year 3'!E58</f>
        <v>3500</v>
      </c>
      <c r="F58" s="49">
        <f>'Page 8-Year 4'!E58</f>
        <v>4100</v>
      </c>
      <c r="G58" s="49">
        <f>'Page 9-Year 5'!E58</f>
        <v>4200</v>
      </c>
      <c r="H58" s="49">
        <f>'Page 9-Year 6 '!E58</f>
        <v>4200</v>
      </c>
    </row>
    <row r="59" spans="1:8" s="48" customFormat="1" ht="11.25" x14ac:dyDescent="0.2">
      <c r="A59" s="371" t="s">
        <v>193</v>
      </c>
      <c r="B59" s="49">
        <f>'Page 4-Year 0'!E59</f>
        <v>0</v>
      </c>
      <c r="C59" s="49">
        <f>'Page 5-Year 1'!E59</f>
        <v>85932</v>
      </c>
      <c r="D59" s="49">
        <f>'Page 6-Year 2'!E59</f>
        <v>129690</v>
      </c>
      <c r="E59" s="49">
        <f>'Page 7-Year 3'!E59</f>
        <v>152732.25</v>
      </c>
      <c r="F59" s="49">
        <f>'Page 8-Year 4'!E59</f>
        <v>195956.739</v>
      </c>
      <c r="G59" s="49">
        <f>'Page 9-Year 5'!E59</f>
        <v>204078.25745999994</v>
      </c>
      <c r="H59" s="49">
        <f>'Page 9-Year 6 '!E59</f>
        <v>207230.04521999994</v>
      </c>
    </row>
    <row r="60" spans="1:8" s="48" customFormat="1" ht="11.25" x14ac:dyDescent="0.2">
      <c r="A60" s="371" t="s">
        <v>192</v>
      </c>
      <c r="B60" s="49">
        <f>'Page 4-Year 0'!E60</f>
        <v>0</v>
      </c>
      <c r="C60" s="49">
        <f>'Page 5-Year 1'!E60</f>
        <v>42967.915199999996</v>
      </c>
      <c r="D60" s="49">
        <f>'Page 6-Year 2'!E60</f>
        <v>43230</v>
      </c>
      <c r="E60" s="49">
        <f>'Page 7-Year 3'!E60</f>
        <v>50910.75</v>
      </c>
      <c r="F60" s="49">
        <f>'Page 8-Year 4'!E60</f>
        <v>65318.913</v>
      </c>
      <c r="G60" s="49">
        <f>'Page 9-Year 5'!E60</f>
        <v>68026.085819999993</v>
      </c>
      <c r="H60" s="49">
        <f>'Page 9-Year 6 '!E60</f>
        <v>69076.681739999985</v>
      </c>
    </row>
    <row r="61" spans="1:8" s="48" customFormat="1" ht="11.25" x14ac:dyDescent="0.2">
      <c r="A61" s="46" t="s">
        <v>26</v>
      </c>
      <c r="B61" s="49">
        <f>'Page 4-Year 0'!E61</f>
        <v>0</v>
      </c>
      <c r="C61" s="49">
        <f>'Page 5-Year 1'!E61</f>
        <v>19383</v>
      </c>
      <c r="D61" s="49">
        <f>'Page 6-Year 2'!E61</f>
        <v>28296</v>
      </c>
      <c r="E61" s="49">
        <f>'Page 7-Year 3'!E61</f>
        <v>29040</v>
      </c>
      <c r="F61" s="49">
        <f>'Page 8-Year 4'!E61</f>
        <v>36528</v>
      </c>
      <c r="G61" s="49">
        <f>'Page 9-Year 5'!E61</f>
        <v>37296</v>
      </c>
      <c r="H61" s="49">
        <f>'Page 9-Year 6 '!E61</f>
        <v>37296</v>
      </c>
    </row>
    <row r="62" spans="1:8" s="48" customFormat="1" ht="11.25" x14ac:dyDescent="0.2">
      <c r="A62" s="46" t="s">
        <v>27</v>
      </c>
      <c r="B62" s="49">
        <f>'Page 4-Year 0'!E62</f>
        <v>300</v>
      </c>
      <c r="C62" s="49">
        <f>'Page 5-Year 1'!E62</f>
        <v>14000</v>
      </c>
      <c r="D62" s="49">
        <f>'Page 6-Year 2'!E62</f>
        <v>7860</v>
      </c>
      <c r="E62" s="49">
        <f>'Page 7-Year 3'!E62</f>
        <v>9075</v>
      </c>
      <c r="F62" s="49">
        <f>'Page 8-Year 4'!E62</f>
        <v>11415</v>
      </c>
      <c r="G62" s="49">
        <f>'Page 9-Year 5'!E62</f>
        <v>11655</v>
      </c>
      <c r="H62" s="49">
        <f>'Page 9-Year 6 '!E62</f>
        <v>11835</v>
      </c>
    </row>
    <row r="63" spans="1:8" s="48" customFormat="1" ht="11.25" x14ac:dyDescent="0.2">
      <c r="A63" s="46" t="s">
        <v>41</v>
      </c>
      <c r="B63" s="49">
        <f>'Page 4-Year 0'!E63</f>
        <v>0</v>
      </c>
      <c r="C63" s="49">
        <f>'Page 5-Year 1'!E63</f>
        <v>0</v>
      </c>
      <c r="D63" s="49">
        <f>'Page 6-Year 2'!E63</f>
        <v>3000</v>
      </c>
      <c r="E63" s="49">
        <f>'Page 7-Year 3'!E63</f>
        <v>6050</v>
      </c>
      <c r="F63" s="49">
        <f>'Page 8-Year 4'!E63</f>
        <v>7610</v>
      </c>
      <c r="G63" s="49">
        <f>'Page 9-Year 5'!E63</f>
        <v>7770</v>
      </c>
      <c r="H63" s="49">
        <f>'Page 9-Year 6 '!E63</f>
        <v>7890</v>
      </c>
    </row>
    <row r="64" spans="1:8" s="48" customFormat="1" ht="11.25" x14ac:dyDescent="0.2">
      <c r="A64" s="46" t="s">
        <v>28</v>
      </c>
      <c r="B64" s="49">
        <f>'Page 4-Year 0'!E64</f>
        <v>300000</v>
      </c>
      <c r="C64" s="49">
        <f>'Page 5-Year 1'!E64</f>
        <v>218500</v>
      </c>
      <c r="D64" s="49">
        <f>'Page 6-Year 2'!E64</f>
        <v>50000</v>
      </c>
      <c r="E64" s="49">
        <f>'Page 7-Year 3'!E64</f>
        <v>50544</v>
      </c>
      <c r="F64" s="49">
        <f>'Page 8-Year 4'!E64</f>
        <v>50544</v>
      </c>
      <c r="G64" s="49">
        <f>'Page 9-Year 5'!E64</f>
        <v>50544</v>
      </c>
      <c r="H64" s="49">
        <f>'Page 9-Year 6 '!E64</f>
        <v>50544</v>
      </c>
    </row>
    <row r="65" spans="1:9" s="48" customFormat="1" ht="11.25" x14ac:dyDescent="0.2">
      <c r="A65" s="46" t="s">
        <v>29</v>
      </c>
      <c r="B65" s="49">
        <f>'Page 4-Year 0'!E65</f>
        <v>0</v>
      </c>
      <c r="C65" s="49">
        <f>'Page 5-Year 1'!E65</f>
        <v>261445</v>
      </c>
      <c r="D65" s="49">
        <f>'Page 6-Year 2'!E65</f>
        <v>1000</v>
      </c>
      <c r="E65" s="49">
        <f>'Page 7-Year 3'!E65</f>
        <v>1500</v>
      </c>
      <c r="F65" s="49">
        <f>'Page 8-Year 4'!E65</f>
        <v>1650.0000000000002</v>
      </c>
      <c r="G65" s="49">
        <f>'Page 9-Year 5'!E65</f>
        <v>1815.0000000000005</v>
      </c>
      <c r="H65" s="49">
        <f>'Page 9-Year 6 '!E65</f>
        <v>1815.0000000000005</v>
      </c>
    </row>
    <row r="66" spans="1:9" s="48" customFormat="1" ht="11.25" x14ac:dyDescent="0.2">
      <c r="A66" s="191" t="s">
        <v>191</v>
      </c>
      <c r="B66" s="49">
        <f>'Page 4-Year 0'!E66</f>
        <v>0</v>
      </c>
      <c r="C66" s="49">
        <f>'Page 5-Year 1'!E66</f>
        <v>15000</v>
      </c>
      <c r="D66" s="49">
        <f>'Page 6-Year 2'!E66</f>
        <v>0</v>
      </c>
      <c r="E66" s="49">
        <f>'Page 7-Year 3'!E66</f>
        <v>0</v>
      </c>
      <c r="F66" s="49">
        <f>'Page 8-Year 4'!E66</f>
        <v>0</v>
      </c>
      <c r="G66" s="49">
        <f>'Page 9-Year 5'!E66</f>
        <v>0</v>
      </c>
      <c r="H66" s="49">
        <f>'Page 9-Year 6 '!E66</f>
        <v>0</v>
      </c>
    </row>
    <row r="67" spans="1:9" s="48" customFormat="1" ht="11.25" x14ac:dyDescent="0.2">
      <c r="A67" s="46" t="s">
        <v>30</v>
      </c>
      <c r="B67" s="49">
        <f>'Page 4-Year 0'!E67</f>
        <v>58000</v>
      </c>
      <c r="C67" s="49">
        <f>'Page 5-Year 1'!E67</f>
        <v>42000</v>
      </c>
      <c r="D67" s="49">
        <f>'Page 6-Year 2'!E67</f>
        <v>10000</v>
      </c>
      <c r="E67" s="49">
        <f>'Page 7-Year 3'!E67</f>
        <v>20000</v>
      </c>
      <c r="F67" s="49">
        <f>'Page 8-Year 4'!E67</f>
        <v>20000</v>
      </c>
      <c r="G67" s="49">
        <f>'Page 9-Year 5'!E67</f>
        <v>20000</v>
      </c>
      <c r="H67" s="49">
        <f>'Page 9-Year 6 '!E67</f>
        <v>20000</v>
      </c>
    </row>
    <row r="68" spans="1:9" s="48" customFormat="1" ht="11.25" x14ac:dyDescent="0.2">
      <c r="A68" s="46" t="s">
        <v>31</v>
      </c>
      <c r="B68" s="49">
        <f>'Page 4-Year 0'!E68</f>
        <v>1500</v>
      </c>
      <c r="C68" s="49">
        <f>'Page 5-Year 1'!E68</f>
        <v>59400</v>
      </c>
      <c r="D68" s="49">
        <f>'Page 6-Year 2'!E68</f>
        <v>0</v>
      </c>
      <c r="E68" s="49">
        <f>'Page 7-Year 3'!E68</f>
        <v>-10800</v>
      </c>
      <c r="F68" s="49">
        <f>'Page 8-Year 4'!E68</f>
        <v>-10800</v>
      </c>
      <c r="G68" s="49">
        <f>'Page 9-Year 5'!E68</f>
        <v>-10800</v>
      </c>
      <c r="H68" s="49">
        <f>'Page 9-Year 6 '!E68</f>
        <v>-10800</v>
      </c>
    </row>
    <row r="69" spans="1:9" s="48" customFormat="1" ht="11.25" x14ac:dyDescent="0.2">
      <c r="A69" s="46" t="s">
        <v>32</v>
      </c>
      <c r="B69" s="49">
        <f>'Page 4-Year 0'!E69</f>
        <v>690</v>
      </c>
      <c r="C69" s="49">
        <f>'Page 5-Year 1'!E69</f>
        <v>4600</v>
      </c>
      <c r="D69" s="49">
        <f>'Page 6-Year 2'!E69</f>
        <v>5000</v>
      </c>
      <c r="E69" s="49">
        <f>'Page 7-Year 3'!E69</f>
        <v>12100</v>
      </c>
      <c r="F69" s="49">
        <f>'Page 8-Year 4'!E69</f>
        <v>15220</v>
      </c>
      <c r="G69" s="49">
        <f>'Page 9-Year 5'!E69</f>
        <v>15540</v>
      </c>
      <c r="H69" s="49">
        <f>'Page 9-Year 6 '!E69</f>
        <v>15540</v>
      </c>
    </row>
    <row r="70" spans="1:9" s="48" customFormat="1" ht="11.25" x14ac:dyDescent="0.2">
      <c r="A70" s="46" t="s">
        <v>43</v>
      </c>
      <c r="B70" s="49">
        <f>'Page 4-Year 0'!E70</f>
        <v>0</v>
      </c>
      <c r="C70" s="49">
        <f>'Page 5-Year 1'!E70</f>
        <v>0</v>
      </c>
      <c r="D70" s="49">
        <f>'Page 6-Year 2'!E70</f>
        <v>30000</v>
      </c>
      <c r="E70" s="49">
        <f>'Page 7-Year 3'!E70</f>
        <v>0</v>
      </c>
      <c r="F70" s="49">
        <f>'Page 8-Year 4'!E70</f>
        <v>0</v>
      </c>
      <c r="G70" s="49">
        <f>'Page 9-Year 5'!E70</f>
        <v>0</v>
      </c>
      <c r="H70" s="49">
        <f>'Page 9-Year 6 '!E70</f>
        <v>0</v>
      </c>
    </row>
    <row r="71" spans="1:9" s="48" customFormat="1" ht="11.25" x14ac:dyDescent="0.2">
      <c r="A71" s="46" t="s">
        <v>33</v>
      </c>
      <c r="B71" s="49">
        <f>'Page 4-Year 0'!E71</f>
        <v>0</v>
      </c>
      <c r="C71" s="49">
        <f>'Page 5-Year 1'!E71</f>
        <v>5800</v>
      </c>
      <c r="D71" s="49">
        <f>'Page 6-Year 2'!E71</f>
        <v>2647.3867595818815</v>
      </c>
      <c r="E71" s="49">
        <f>'Page 7-Year 3'!E71</f>
        <v>6000</v>
      </c>
      <c r="F71" s="49">
        <f>'Page 8-Year 4'!E71</f>
        <v>7547.1074380165292</v>
      </c>
      <c r="G71" s="49">
        <f>'Page 9-Year 5'!E71</f>
        <v>7705.7851239669417</v>
      </c>
      <c r="H71" s="49">
        <f>'Page 9-Year 6 '!E71</f>
        <v>7705.7851239669417</v>
      </c>
    </row>
    <row r="72" spans="1:9" s="48" customFormat="1" ht="12" thickBot="1" x14ac:dyDescent="0.25">
      <c r="A72" s="46" t="s">
        <v>34</v>
      </c>
      <c r="B72" s="50">
        <f>'Page 4-Year 0'!E72</f>
        <v>51111</v>
      </c>
      <c r="C72" s="50">
        <f>'Page 5-Year 1'!E72</f>
        <v>0</v>
      </c>
      <c r="D72" s="50">
        <f>'Page 6-Year 2'!E72</f>
        <v>0</v>
      </c>
      <c r="E72" s="50">
        <f>'Page 7-Year 3'!E72</f>
        <v>0</v>
      </c>
      <c r="F72" s="50">
        <f>'Page 8-Year 4'!E72</f>
        <v>0</v>
      </c>
      <c r="G72" s="50">
        <f>'Page 9-Year 5'!E72</f>
        <v>0</v>
      </c>
      <c r="H72" s="50">
        <f>'Page 9-Year 6 '!E72</f>
        <v>0</v>
      </c>
    </row>
    <row r="73" spans="1:9" s="48" customFormat="1" ht="12" thickBot="1" x14ac:dyDescent="0.25">
      <c r="A73" s="51" t="s">
        <v>40</v>
      </c>
      <c r="B73" s="54">
        <f t="shared" ref="B73:G73" si="2">SUM(B31:B72)</f>
        <v>563364.625</v>
      </c>
      <c r="C73" s="54">
        <f t="shared" si="2"/>
        <v>5454147.2352</v>
      </c>
      <c r="D73" s="54">
        <f t="shared" si="2"/>
        <v>4949749.9219595818</v>
      </c>
      <c r="E73" s="54">
        <f t="shared" si="2"/>
        <v>5673990.8182000006</v>
      </c>
      <c r="F73" s="54">
        <f t="shared" si="2"/>
        <v>7367933.4003524166</v>
      </c>
      <c r="G73" s="54">
        <f t="shared" si="2"/>
        <v>7640022.5924612628</v>
      </c>
      <c r="H73" s="54">
        <f t="shared" ref="H73" si="3">SUM(H31:H72)</f>
        <v>7828386.8576112632</v>
      </c>
    </row>
    <row r="74" spans="1:9" s="48" customFormat="1" ht="6.75" customHeight="1" x14ac:dyDescent="0.2">
      <c r="A74" s="55"/>
      <c r="B74" s="49"/>
      <c r="C74" s="49"/>
      <c r="D74" s="49"/>
      <c r="E74" s="49"/>
      <c r="F74" s="49"/>
      <c r="G74" s="49"/>
      <c r="H74" s="49"/>
    </row>
    <row r="75" spans="1:9" s="48" customFormat="1" ht="13.5" customHeight="1" x14ac:dyDescent="0.2">
      <c r="A75" s="56" t="s">
        <v>82</v>
      </c>
      <c r="B75" s="53">
        <f t="shared" ref="B75:G75" si="4">B28-B73</f>
        <v>36635.375</v>
      </c>
      <c r="C75" s="53">
        <f t="shared" si="4"/>
        <v>-109833.21520000044</v>
      </c>
      <c r="D75" s="53">
        <f t="shared" si="4"/>
        <v>82658.578040418215</v>
      </c>
      <c r="E75" s="53">
        <f t="shared" si="4"/>
        <v>71115.823021373712</v>
      </c>
      <c r="F75" s="53">
        <f t="shared" si="4"/>
        <v>-27929.291720493697</v>
      </c>
      <c r="G75" s="53">
        <f t="shared" si="4"/>
        <v>-11951.512854591012</v>
      </c>
      <c r="H75" s="53">
        <f t="shared" ref="H75" si="5">H28-H73</f>
        <v>-76013.84360380657</v>
      </c>
    </row>
    <row r="76" spans="1:9" s="48" customFormat="1" ht="6.75" customHeight="1" x14ac:dyDescent="0.2">
      <c r="A76" s="55"/>
      <c r="B76" s="49"/>
      <c r="C76" s="49"/>
      <c r="D76" s="49"/>
      <c r="E76" s="49"/>
      <c r="F76" s="49"/>
      <c r="G76" s="49"/>
      <c r="H76" s="49"/>
    </row>
    <row r="77" spans="1:9" s="48" customFormat="1" ht="13.5" customHeight="1" x14ac:dyDescent="0.2">
      <c r="A77" s="56" t="s">
        <v>175</v>
      </c>
      <c r="B77" s="49"/>
      <c r="C77" s="49"/>
      <c r="D77" s="49"/>
      <c r="E77" s="57"/>
      <c r="F77" s="57"/>
      <c r="G77" s="49"/>
      <c r="H77" s="49"/>
    </row>
    <row r="78" spans="1:9" s="48" customFormat="1" ht="13.5" customHeight="1" x14ac:dyDescent="0.2">
      <c r="A78" s="262" t="s">
        <v>187</v>
      </c>
      <c r="B78" s="234"/>
      <c r="C78" s="234">
        <f>'Page 5-Year 1'!E78</f>
        <v>0</v>
      </c>
      <c r="D78" s="234">
        <f>'Page 6-Year 2'!E78</f>
        <v>0</v>
      </c>
      <c r="E78" s="57">
        <f>'Page 7-Year 3'!E78</f>
        <v>0</v>
      </c>
      <c r="F78" s="57">
        <f>'Page 8-Year 4'!E78</f>
        <v>0</v>
      </c>
      <c r="G78" s="49">
        <f>'Page 9-Year 5'!E78</f>
        <v>0</v>
      </c>
      <c r="H78" s="49">
        <f>'Page 9-Year 5'!F78</f>
        <v>0</v>
      </c>
      <c r="I78" s="48" t="s">
        <v>76</v>
      </c>
    </row>
    <row r="79" spans="1:9" s="48" customFormat="1" ht="13.5" customHeight="1" thickBot="1" x14ac:dyDescent="0.25">
      <c r="A79" s="191" t="s">
        <v>174</v>
      </c>
      <c r="B79" s="50">
        <v>0</v>
      </c>
      <c r="C79" s="50">
        <f>'Page 5-Year 1'!E79</f>
        <v>-15150.335599999991</v>
      </c>
      <c r="D79" s="50">
        <f>'Page 6-Year 2'!E79</f>
        <v>815.56560000000172</v>
      </c>
      <c r="E79" s="50">
        <f>'Page 7-Year 3'!E79</f>
        <v>-15740.254236641224</v>
      </c>
      <c r="F79" s="50">
        <f>'Page 8-Year 4'!E79</f>
        <v>-45181.064022316452</v>
      </c>
      <c r="G79" s="50">
        <f>'Page 9-Year 5'!E79</f>
        <v>-8317.0491292424849</v>
      </c>
      <c r="H79" s="50">
        <f>'Page 9-Year 6 '!E79</f>
        <v>-11704.641706720577</v>
      </c>
    </row>
    <row r="80" spans="1:9" s="48" customFormat="1" ht="6" customHeight="1" x14ac:dyDescent="0.2">
      <c r="A80" s="55"/>
      <c r="B80" s="49"/>
      <c r="C80" s="234"/>
      <c r="D80" s="234"/>
      <c r="E80" s="49"/>
      <c r="F80" s="49"/>
      <c r="G80" s="49"/>
      <c r="H80" s="49"/>
    </row>
    <row r="81" spans="1:9" s="48" customFormat="1" ht="12" thickBot="1" x14ac:dyDescent="0.25">
      <c r="A81" s="51" t="s">
        <v>45</v>
      </c>
      <c r="B81" s="58">
        <f>B75-B79</f>
        <v>36635.375</v>
      </c>
      <c r="C81" s="233">
        <f t="shared" ref="C81:H81" si="6">SUM(C75:C79)</f>
        <v>-124983.55080000043</v>
      </c>
      <c r="D81" s="233">
        <f t="shared" si="6"/>
        <v>83474.143640418217</v>
      </c>
      <c r="E81" s="233">
        <f t="shared" si="6"/>
        <v>55375.568784732488</v>
      </c>
      <c r="F81" s="233">
        <f t="shared" si="6"/>
        <v>-73110.355742810149</v>
      </c>
      <c r="G81" s="233">
        <f t="shared" si="6"/>
        <v>-20268.561983833497</v>
      </c>
      <c r="H81" s="233">
        <f t="shared" si="6"/>
        <v>-87718.485310527147</v>
      </c>
    </row>
    <row r="82" spans="1:9" ht="13.5" thickTop="1" x14ac:dyDescent="0.2">
      <c r="A82" s="25"/>
      <c r="B82" s="14"/>
      <c r="C82" s="252"/>
      <c r="D82" s="14"/>
      <c r="E82" s="14"/>
      <c r="F82" s="14"/>
      <c r="G82" s="14"/>
      <c r="H82" s="14"/>
    </row>
    <row r="83" spans="1:9" s="48" customFormat="1" ht="11.25" x14ac:dyDescent="0.2">
      <c r="A83" s="55" t="s">
        <v>95</v>
      </c>
      <c r="B83" s="189">
        <f>'Page 4-Year 0'!E82</f>
        <v>0</v>
      </c>
      <c r="C83" s="189">
        <f>'Page 5-Year 1'!E82</f>
        <v>215329</v>
      </c>
      <c r="D83" s="189">
        <f>'Page 6-Year 2'!E82</f>
        <v>145000</v>
      </c>
      <c r="E83" s="189">
        <f>'Page 7-Year 3'!E82</f>
        <v>227658.57804041822</v>
      </c>
      <c r="F83" s="189">
        <f>'Page 8-Year 4'!E82</f>
        <v>298774.40106179193</v>
      </c>
      <c r="G83" s="189">
        <f>'Page 9-Year 5'!E82</f>
        <v>270845.10934129823</v>
      </c>
      <c r="H83" s="189">
        <f>'Page 9-Year 6 '!E82</f>
        <v>258893.59648670722</v>
      </c>
    </row>
    <row r="84" spans="1:9" s="48" customFormat="1" ht="3" customHeight="1" x14ac:dyDescent="0.2">
      <c r="A84" s="55"/>
      <c r="B84" s="190"/>
      <c r="C84" s="190"/>
      <c r="D84" s="189"/>
      <c r="E84" s="190"/>
      <c r="F84" s="190"/>
      <c r="G84" s="190"/>
      <c r="H84" s="190"/>
    </row>
    <row r="85" spans="1:9" s="48" customFormat="1" ht="11.25" x14ac:dyDescent="0.2">
      <c r="A85" s="55" t="s">
        <v>96</v>
      </c>
      <c r="B85" s="189">
        <f>'Page 4-Year 0'!E84</f>
        <v>215000</v>
      </c>
      <c r="C85" s="189">
        <f>'Page 5-Year 1'!E83</f>
        <v>105495.78479999956</v>
      </c>
      <c r="D85" s="189">
        <f>'Page 6-Year 2'!E83</f>
        <v>227658.57804041822</v>
      </c>
      <c r="E85" s="189">
        <f>'Page 7-Year 3'!E83</f>
        <v>298774.40106179193</v>
      </c>
      <c r="F85" s="189">
        <f>'Page 8-Year 4'!E83</f>
        <v>270845.10934129823</v>
      </c>
      <c r="G85" s="189">
        <f>'Page 9-Year 5'!E83</f>
        <v>258893.59648670722</v>
      </c>
      <c r="H85" s="189">
        <f>'Page 9-Year 6 '!E83</f>
        <v>182879.75288290065</v>
      </c>
    </row>
    <row r="86" spans="1:9" s="48" customFormat="1" ht="11.25" x14ac:dyDescent="0.2">
      <c r="A86" s="191" t="s">
        <v>97</v>
      </c>
      <c r="B86" s="192">
        <f>'Page 4-Year 0'!E85</f>
        <v>130000</v>
      </c>
      <c r="C86" s="192">
        <f>'Page 5-Year 1'!E84</f>
        <v>145150.33559999999</v>
      </c>
      <c r="D86" s="192">
        <f>'Page 6-Year 2'!E84</f>
        <v>144334.76999999999</v>
      </c>
      <c r="E86" s="192">
        <f>'Page 7-Year 3'!E84</f>
        <v>160075.02423664121</v>
      </c>
      <c r="F86" s="192">
        <f>'Page 8-Year 4'!E84</f>
        <v>205256.08825895766</v>
      </c>
      <c r="G86" s="192">
        <f>'Page 9-Year 5'!E84</f>
        <v>213573.13738820015</v>
      </c>
      <c r="H86" s="192">
        <f>'Page 9-Year 6 '!E84</f>
        <v>216960.72996567824</v>
      </c>
    </row>
    <row r="87" spans="1:9" s="48" customFormat="1" ht="11.25" x14ac:dyDescent="0.2">
      <c r="A87" s="191" t="s">
        <v>98</v>
      </c>
      <c r="B87" s="192">
        <f>'Page 4-Year 0'!E86</f>
        <v>85000</v>
      </c>
      <c r="C87" s="192">
        <f>'Page 5-Year 1'!E85</f>
        <v>-39654.550800000434</v>
      </c>
      <c r="D87" s="192">
        <f>'Page 6-Year 2'!E86</f>
        <v>30923.808040418226</v>
      </c>
      <c r="E87" s="192">
        <f>'Page 7-Year 3'!E85</f>
        <v>138699.37682515071</v>
      </c>
      <c r="F87" s="192">
        <f>'Page 8-Year 4'!E85</f>
        <v>65589.021082340565</v>
      </c>
      <c r="G87" s="192">
        <f>'Page 9-Year 5'!E85</f>
        <v>45320.459098507068</v>
      </c>
      <c r="H87" s="192">
        <f>'Page 9-Year 6 '!E85</f>
        <v>-34080.977082777594</v>
      </c>
    </row>
    <row r="88" spans="1:9" s="48" customFormat="1" ht="12" thickBot="1" x14ac:dyDescent="0.25">
      <c r="A88" s="193" t="s">
        <v>100</v>
      </c>
      <c r="B88" s="194">
        <f>'Page 4-Year 0'!E87</f>
        <v>0.15087919302707373</v>
      </c>
      <c r="C88" s="194">
        <f>'Page 5-Year 1'!E86</f>
        <v>-7.270531778841194E-3</v>
      </c>
      <c r="D88" s="194">
        <f>'Page 6-Year 2'!E87</f>
        <v>6.2475495788634995E-3</v>
      </c>
      <c r="E88" s="194">
        <f>'Page 7-Year 3'!E86</f>
        <v>2.4444765821660473E-2</v>
      </c>
      <c r="F88" s="194">
        <f>'Page 8-Year 4'!E86</f>
        <v>8.9019562906477098E-3</v>
      </c>
      <c r="G88" s="194">
        <f>'Page 9-Year 5'!E86</f>
        <v>5.9319797225765676E-3</v>
      </c>
      <c r="H88" s="194">
        <f>'Page 9-Year 6 '!E86</f>
        <v>-4.3535121223144289E-3</v>
      </c>
    </row>
    <row r="89" spans="1:9" s="48" customFormat="1" ht="11.25" x14ac:dyDescent="0.2"/>
    <row r="90" spans="1:9" ht="13.5" thickBot="1" x14ac:dyDescent="0.25"/>
    <row r="91" spans="1:9" x14ac:dyDescent="0.2">
      <c r="A91" s="281" t="s">
        <v>163</v>
      </c>
      <c r="B91" s="282">
        <f>('Page 2-Staffing Plan'!B44)+((B33+B34+B35+B36+B37+B38+B53+B54)*B98)+(B32+B41+B61+B64+B65+B71)+((B51+B58+B63+B67+B68+B70)*0.75)</f>
        <v>344625</v>
      </c>
      <c r="C91" s="282">
        <f>('Page 2-Staffing Plan'!C44)+((C33+C34+C35+C36+C37+C38+C53+C54)*C98)+(C32+C41+C61+C64+C65+C71)+((C51+C58+C63+C67+C68+C70)*0.75)</f>
        <v>2565704.5357277882</v>
      </c>
      <c r="D91" s="282">
        <f>('Page 2-Staffing Plan'!D44)+((D33+D34+D35+D36+D37+D38+D53+D54)*D98)+(D32+D41+D61+D64+D65+D71)+((D51+D58+D63+D67+D68+D70)*0.75)</f>
        <v>2110410.1214707871</v>
      </c>
      <c r="E91" s="282">
        <f>('Page 2-Staffing Plan'!E44)+((E33+E34+E35+E36+E37+E38+E53+E54)*E98)+(E32+E41+E61+E64+E65+E71)+((E51+E58+E63+E67+E68+E70)*0.75)</f>
        <v>2409688.3868608158</v>
      </c>
      <c r="F91" s="282">
        <f>('Page 2-Staffing Plan'!F44)+((F33+F34+F35+F36+F37+F38+F53+F54)*F98)+(F32+F41+F61+F64+F65+F71)+((F51+F58+F63+F67+F68+F70)*0.75)</f>
        <v>2922855.8783068038</v>
      </c>
      <c r="G91" s="282">
        <f>('Page 2-Staffing Plan'!G44)+((G33+G34+G35+G36+G37+G38+G53+G54)*G98)+(G32+G41+G61+G64+G65+G71)+((G51+G58+G63+G67+G68+G70)*0.75)</f>
        <v>2988437.2177158897</v>
      </c>
      <c r="H91" s="282">
        <f>('Page 2-Staffing Plan'!G44+33000)+((H33+H34+H35+H36+H37+H38+H53+H54)*H98)+(H32+H41+H61+H64+H65+H71)+((H51+H58+H63+H67+H68+H70)*0.75)</f>
        <v>3041329.2975890157</v>
      </c>
    </row>
    <row r="92" spans="1:9" s="159" customFormat="1" x14ac:dyDescent="0.2">
      <c r="A92" s="283" t="s">
        <v>164</v>
      </c>
      <c r="B92" s="284">
        <f t="shared" ref="B92:G92" si="7">B91/B73</f>
        <v>0.61172637525829743</v>
      </c>
      <c r="C92" s="284">
        <f t="shared" si="7"/>
        <v>0.47041350830597911</v>
      </c>
      <c r="D92" s="284">
        <f t="shared" si="7"/>
        <v>0.42636701949485278</v>
      </c>
      <c r="E92" s="284">
        <f t="shared" si="7"/>
        <v>0.42469021612291891</v>
      </c>
      <c r="F92" s="284">
        <f t="shared" si="7"/>
        <v>0.39669955189429373</v>
      </c>
      <c r="G92" s="284">
        <f t="shared" si="7"/>
        <v>0.39115554719232226</v>
      </c>
      <c r="H92" s="284">
        <f t="shared" ref="H92" si="8">H91/H73</f>
        <v>0.38850012817545404</v>
      </c>
      <c r="I92" s="159" t="s">
        <v>76</v>
      </c>
    </row>
    <row r="93" spans="1:9" x14ac:dyDescent="0.2">
      <c r="A93" s="285"/>
      <c r="B93" s="286"/>
      <c r="C93" s="286"/>
      <c r="D93" s="286"/>
      <c r="E93" s="286"/>
      <c r="F93" s="286"/>
      <c r="G93" s="286"/>
      <c r="H93" s="286"/>
    </row>
    <row r="94" spans="1:9" x14ac:dyDescent="0.2">
      <c r="A94" s="285" t="s">
        <v>165</v>
      </c>
      <c r="B94" s="287">
        <f>'Page 2-Staffing Plan'!B45+((B33+B34+B35+B36+B37+B38+B39+B53+B54)*B99)+(B40+B42+B43+B44+B45+B46+B47+B48+B49+B50+B52+B55+B56+B57+B59+B60+B62+B66+B69+B72)+((B51+B58+B63+B67+B68+B70)*0.25)</f>
        <v>218739.625</v>
      </c>
      <c r="C94" s="287">
        <f>'Page 2-Staffing Plan'!C45+((C33+C34+C35+C36+C37+C38+C39+C53+C54)*C99)+(C40+C42+C43+C44+C45+C46+C47+C48+C49+C50+C52+C55+C56+C57+C59+C60+C62+C66+C69+C72)+((C51+C58+C63+C67+C68+C70)*0.25)</f>
        <v>2463502.0496612475</v>
      </c>
      <c r="D94" s="287">
        <f>'Page 2-Staffing Plan'!D45+((D33+D34+D35+D36+D37+D38+D39+D53+D54)*D99)+(D40+D42+D43+D44+D45+D46+D47+D48+D49+D50+D52+D55+D56+D57+D59+D60+D62+D66+D69+D72)+((D51+D58+D63+D67+D68+D70)*0.25)</f>
        <v>2496979.8004887952</v>
      </c>
      <c r="E94" s="287">
        <f>'Page 2-Staffing Plan'!E45+((E33+E34+E35+E36+E37+E38+E39+E53+E54)*E99)+(E40+E42+E43+E44+E45+E46+E47+E48+E49+E50+E52+E55+E56+E57+E59+E60+E62+E66+E69+E72)+((E51+E58+E63+E67+E68+E70)*0.25)</f>
        <v>3004602.4313391838</v>
      </c>
      <c r="F94" s="287">
        <f>'Page 2-Staffing Plan'!F45+((F33+F34+F35+F36+F37+F38+F39+F53+F54)*F99)+(F40+F42+F43+F44+F45+F46+F47+F48+F49+F50+F52+F55+F56+F57+F59+F60+F62+F66+F69+F72)+((F51+F58+F63+F67+F68+F70)*0.25)</f>
        <v>3586632.1780456137</v>
      </c>
      <c r="G94" s="287">
        <f>'Page 2-Staffing Plan'!G45+((G33+G34+G35+G36+G37+G38+G39+G53+G54)*G99)+(G40+G42+G43+G44+G45+G46+G47+G48+G49+G50+G52+G55+G56+G57+G59+G60+G62+G66+G69+G72)+((G51+G58+G63+G67+G68+G70)*0.25)</f>
        <v>3736907.1238653739</v>
      </c>
      <c r="H94" s="287">
        <f>'Page 2-Staffing Plan'!G45+((H33+H34+H35+H36+H37+H38+H39+H53+H54)*H99)+(H40+H42+H43+H44+H45+H46+H47+H48+H49+H50+H52+H55+H56+H57+H59+H60+H62+H66+H69+H72)+((H51+H58+H63+H67+H68+H70)*0.25)</f>
        <v>3768775.8091422478</v>
      </c>
    </row>
    <row r="95" spans="1:9" s="159" customFormat="1" x14ac:dyDescent="0.2">
      <c r="A95" s="283" t="s">
        <v>164</v>
      </c>
      <c r="B95" s="284">
        <f t="shared" ref="B95:G95" si="9">B94/B73</f>
        <v>0.38827362474170257</v>
      </c>
      <c r="C95" s="284">
        <f t="shared" si="9"/>
        <v>0.45167501782172048</v>
      </c>
      <c r="D95" s="284">
        <f t="shared" si="9"/>
        <v>0.50446584976160835</v>
      </c>
      <c r="E95" s="284">
        <f t="shared" si="9"/>
        <v>0.52953953004322185</v>
      </c>
      <c r="F95" s="284">
        <f t="shared" si="9"/>
        <v>0.48678944056064094</v>
      </c>
      <c r="G95" s="284">
        <f t="shared" si="9"/>
        <v>0.48912252269420514</v>
      </c>
      <c r="H95" s="284">
        <f t="shared" ref="H95" si="10">H94/H73</f>
        <v>0.48142431866125784</v>
      </c>
    </row>
    <row r="96" spans="1:9" ht="4.5" customHeight="1" thickBot="1" x14ac:dyDescent="0.25">
      <c r="A96" s="288"/>
      <c r="B96" s="289"/>
      <c r="C96" s="289"/>
      <c r="D96" s="289"/>
      <c r="E96" s="289"/>
      <c r="F96" s="289"/>
      <c r="G96" s="289"/>
      <c r="H96" s="289"/>
    </row>
    <row r="97" spans="1:8" hidden="1" x14ac:dyDescent="0.2"/>
    <row r="98" spans="1:8" hidden="1" x14ac:dyDescent="0.2">
      <c r="A98" s="1" t="s">
        <v>166</v>
      </c>
      <c r="B98" s="277">
        <f>('Page 2-Staffing Plan'!B44)/('Page 2-Staffing Plan'!B44+'Page 2-Staffing Plan'!B45)</f>
        <v>0</v>
      </c>
      <c r="C98" s="277">
        <f>('Page 2-Staffing Plan'!C44)/('Page 2-Staffing Plan'!C44+'Page 2-Staffing Plan'!C45)</f>
        <v>0.6639886578449905</v>
      </c>
      <c r="D98" s="277">
        <f>('Page 2-Staffing Plan'!D44)/('Page 2-Staffing Plan'!D44+'Page 2-Staffing Plan'!D45)</f>
        <v>0.63495419309372803</v>
      </c>
      <c r="E98" s="277">
        <f>('Page 2-Staffing Plan'!E44)/('Page 2-Staffing Plan'!E44+'Page 2-Staffing Plan'!E45)</f>
        <v>0.61639884631231978</v>
      </c>
      <c r="F98" s="277">
        <f>('Page 2-Staffing Plan'!F44)/('Page 2-Staffing Plan'!F44+'Page 2-Staffing Plan'!F45)</f>
        <v>0.63301426765396429</v>
      </c>
      <c r="G98" s="277">
        <f>('Page 2-Staffing Plan'!G44)/('Page 2-Staffing Plan'!G44+'Page 2-Staffing Plan'!G45)</f>
        <v>0.63301426765396429</v>
      </c>
      <c r="H98" s="277">
        <f>G98</f>
        <v>0.63301426765396429</v>
      </c>
    </row>
    <row r="99" spans="1:8" hidden="1" x14ac:dyDescent="0.2">
      <c r="B99" s="277">
        <f>('Page 2-Staffing Plan'!B45)/('Page 2-Staffing Plan'!B44+'Page 2-Staffing Plan'!B45)</f>
        <v>1</v>
      </c>
      <c r="C99" s="277">
        <f>('Page 2-Staffing Plan'!C45)/('Page 2-Staffing Plan'!C44+'Page 2-Staffing Plan'!C45)</f>
        <v>0.33601134215500944</v>
      </c>
      <c r="D99" s="277">
        <f>('Page 2-Staffing Plan'!D45)/('Page 2-Staffing Plan'!D44+'Page 2-Staffing Plan'!D45)</f>
        <v>0.36504580690627203</v>
      </c>
      <c r="E99" s="277">
        <f>('Page 2-Staffing Plan'!E45)/('Page 2-Staffing Plan'!E44+'Page 2-Staffing Plan'!E45)</f>
        <v>0.38360115368768027</v>
      </c>
      <c r="F99" s="277">
        <f>('Page 2-Staffing Plan'!F45)/('Page 2-Staffing Plan'!F44+'Page 2-Staffing Plan'!F45)</f>
        <v>0.36698573234603576</v>
      </c>
      <c r="G99" s="277">
        <f>('Page 2-Staffing Plan'!G45)/('Page 2-Staffing Plan'!G44+'Page 2-Staffing Plan'!G45)</f>
        <v>0.36698573234603576</v>
      </c>
      <c r="H99" s="277">
        <f>G99</f>
        <v>0.36698573234603576</v>
      </c>
    </row>
    <row r="100" spans="1:8" hidden="1" x14ac:dyDescent="0.2">
      <c r="A100" s="1" t="s">
        <v>167</v>
      </c>
      <c r="B100" s="38">
        <f t="shared" ref="B100:G100" si="11">B73-(B91+B94)</f>
        <v>0</v>
      </c>
      <c r="C100" s="38">
        <f t="shared" si="11"/>
        <v>424940.64981096424</v>
      </c>
      <c r="D100" s="38">
        <f t="shared" si="11"/>
        <v>342359.99999999907</v>
      </c>
      <c r="E100" s="38">
        <f t="shared" si="11"/>
        <v>259700.00000000093</v>
      </c>
      <c r="F100" s="38">
        <f t="shared" si="11"/>
        <v>858445.34399999864</v>
      </c>
      <c r="G100" s="38">
        <f t="shared" si="11"/>
        <v>914678.25087999925</v>
      </c>
      <c r="H100" s="38">
        <f t="shared" ref="H100" si="12">H73-(H91+H94)</f>
        <v>1018281.7508799993</v>
      </c>
    </row>
    <row r="101" spans="1:8" hidden="1" x14ac:dyDescent="0.2">
      <c r="B101" s="38"/>
      <c r="C101" s="38"/>
      <c r="D101" s="38"/>
      <c r="E101" s="38"/>
      <c r="F101" s="38"/>
      <c r="G101" s="38"/>
      <c r="H101" s="38"/>
    </row>
    <row r="102" spans="1:8" x14ac:dyDescent="0.2">
      <c r="A102" s="7" t="s">
        <v>172</v>
      </c>
      <c r="B102" s="278">
        <f t="shared" ref="B102:G102" si="13">SUM(B47:B50)+B66</f>
        <v>37478</v>
      </c>
      <c r="C102" s="278">
        <f t="shared" si="13"/>
        <v>906220</v>
      </c>
      <c r="D102" s="278">
        <f t="shared" si="13"/>
        <v>978220</v>
      </c>
      <c r="E102" s="278">
        <f t="shared" si="13"/>
        <v>1268512.67</v>
      </c>
      <c r="F102" s="278">
        <f t="shared" si="13"/>
        <v>1570084.9533000002</v>
      </c>
      <c r="G102" s="278">
        <f t="shared" si="13"/>
        <v>1648259.0790299999</v>
      </c>
      <c r="H102" s="278">
        <f t="shared" ref="H102" si="14">SUM(H47:H50)+H66</f>
        <v>1662545.2590000001</v>
      </c>
    </row>
    <row r="103" spans="1:8" s="230" customFormat="1" x14ac:dyDescent="0.2">
      <c r="A103" s="279" t="s">
        <v>173</v>
      </c>
      <c r="B103" s="280">
        <f t="shared" ref="B103:G103" si="15">B102/B73</f>
        <v>6.6525298779631398E-2</v>
      </c>
      <c r="C103" s="280">
        <f t="shared" si="15"/>
        <v>0.16615246360630553</v>
      </c>
      <c r="D103" s="280">
        <f t="shared" si="15"/>
        <v>0.19763018645853678</v>
      </c>
      <c r="E103" s="280">
        <f t="shared" si="15"/>
        <v>0.22356621831869988</v>
      </c>
      <c r="F103" s="280">
        <f t="shared" si="15"/>
        <v>0.2130970610055869</v>
      </c>
      <c r="G103" s="280">
        <f t="shared" si="15"/>
        <v>0.2157400791794003</v>
      </c>
      <c r="H103" s="280">
        <f t="shared" ref="H103" si="16">H102/H73</f>
        <v>0.2123739269966668</v>
      </c>
    </row>
    <row r="104" spans="1:8" x14ac:dyDescent="0.2">
      <c r="A104" s="7"/>
    </row>
  </sheetData>
  <phoneticPr fontId="2" type="noConversion"/>
  <printOptions horizontalCentered="1"/>
  <pageMargins left="0.17" right="0.17" top="0.45" bottom="0.79" header="0.25" footer="0.31"/>
  <pageSetup orientation="portrait" horizontalDpi="1200" verticalDpi="1200" r:id="rId1"/>
  <headerFooter alignWithMargins="0"/>
  <cellWatches>
    <cellWatch r="A1"/>
  </cellWatch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47"/>
  <sheetViews>
    <sheetView view="pageBreakPreview" zoomScale="90" zoomScaleNormal="80" zoomScaleSheetLayoutView="90" workbookViewId="0">
      <selection activeCell="C9" sqref="C9"/>
    </sheetView>
  </sheetViews>
  <sheetFormatPr defaultColWidth="11.42578125" defaultRowHeight="12.75" x14ac:dyDescent="0.2"/>
  <cols>
    <col min="1" max="1" width="34" style="1" customWidth="1"/>
    <col min="2" max="2" width="13.140625" style="1" hidden="1" customWidth="1"/>
    <col min="3" max="8" width="13.140625" style="1" customWidth="1"/>
    <col min="9" max="16384" width="11.42578125" style="1"/>
  </cols>
  <sheetData>
    <row r="1" spans="1:8" ht="18.75" x14ac:dyDescent="0.3">
      <c r="A1" s="16" t="str">
        <f>'Page 3-Assumptions'!A1</f>
        <v>Colorado Military Academy</v>
      </c>
      <c r="B1" s="15"/>
      <c r="C1" s="15"/>
      <c r="D1" s="15"/>
      <c r="E1" s="15"/>
      <c r="F1" s="15"/>
      <c r="G1" s="15"/>
      <c r="H1" s="15"/>
    </row>
    <row r="2" spans="1:8" ht="18.75" x14ac:dyDescent="0.3">
      <c r="A2" s="26" t="s">
        <v>86</v>
      </c>
      <c r="B2" s="14"/>
      <c r="C2" s="14"/>
      <c r="D2" s="14"/>
      <c r="E2" s="14"/>
      <c r="F2" s="14"/>
      <c r="G2" s="14"/>
      <c r="H2" s="14"/>
    </row>
    <row r="3" spans="1:8" s="2" customFormat="1" ht="22.5" customHeight="1" x14ac:dyDescent="0.2">
      <c r="A3" s="17"/>
      <c r="B3" s="3" t="s">
        <v>50</v>
      </c>
      <c r="C3" s="3" t="s">
        <v>46</v>
      </c>
      <c r="D3" s="3" t="s">
        <v>47</v>
      </c>
      <c r="E3" s="3" t="s">
        <v>48</v>
      </c>
      <c r="F3" s="3" t="s">
        <v>49</v>
      </c>
      <c r="G3" s="3" t="s">
        <v>60</v>
      </c>
      <c r="H3" s="3" t="s">
        <v>446</v>
      </c>
    </row>
    <row r="4" spans="1:8" s="2" customFormat="1" x14ac:dyDescent="0.2">
      <c r="A4" s="18" t="s">
        <v>89</v>
      </c>
      <c r="B4" s="10">
        <v>0</v>
      </c>
      <c r="C4" s="10">
        <f>'Page 5-Year 1'!E5</f>
        <v>574</v>
      </c>
      <c r="D4" s="10">
        <f>'Page 6-Year 2'!E5</f>
        <v>524</v>
      </c>
      <c r="E4" s="10">
        <f>'Page 7-Year 3'!E5</f>
        <v>605</v>
      </c>
      <c r="F4" s="10">
        <f>'Page 8-Year 4'!E5</f>
        <v>761</v>
      </c>
      <c r="G4" s="10">
        <f>'Page 9-Year 5'!E5</f>
        <v>777</v>
      </c>
      <c r="H4" s="10">
        <f>'Page 9-Year 6 '!E5</f>
        <v>789</v>
      </c>
    </row>
    <row r="5" spans="1:8" s="2" customFormat="1" x14ac:dyDescent="0.2">
      <c r="A5" s="18" t="s">
        <v>59</v>
      </c>
      <c r="B5" s="10" t="str">
        <f>'Page 4-Year 0'!E6</f>
        <v>N/A</v>
      </c>
      <c r="C5" s="10">
        <f>'Page 5-Year 1'!E6</f>
        <v>543.76</v>
      </c>
      <c r="D5" s="10">
        <f>'Page 6-Year 2'!E6</f>
        <v>524</v>
      </c>
      <c r="E5" s="10">
        <f>'Page 7-Year 3'!E6</f>
        <v>605</v>
      </c>
      <c r="F5" s="10">
        <f>'Page 8-Year 4'!E6</f>
        <v>761</v>
      </c>
      <c r="G5" s="10">
        <f>'Page 9-Year 5'!E6</f>
        <v>777</v>
      </c>
      <c r="H5" s="10">
        <f>'Page 9-Year 6 '!E6</f>
        <v>789</v>
      </c>
    </row>
    <row r="6" spans="1:8" s="2" customFormat="1" ht="13.5" customHeight="1" x14ac:dyDescent="0.2">
      <c r="A6" s="17" t="s">
        <v>37</v>
      </c>
      <c r="B6" s="19"/>
      <c r="C6" s="19"/>
      <c r="D6" s="19"/>
      <c r="E6" s="19"/>
      <c r="F6" s="19"/>
      <c r="G6" s="19"/>
      <c r="H6" s="19"/>
    </row>
    <row r="7" spans="1:8" x14ac:dyDescent="0.2">
      <c r="A7" s="27" t="s">
        <v>61</v>
      </c>
      <c r="B7" s="28">
        <f>'Page 10-6 yr Budget-detail'!B26</f>
        <v>0</v>
      </c>
      <c r="C7" s="28">
        <f>'Page 10-6 yr Budget-detail'!C26</f>
        <v>4296791.5199999996</v>
      </c>
      <c r="D7" s="28">
        <f>'Page 10-6 yr Budget-detail'!D26</f>
        <v>4323000</v>
      </c>
      <c r="E7" s="28">
        <f>'Page 10-6 yr Budget-detail'!E26</f>
        <v>5091075</v>
      </c>
      <c r="F7" s="28">
        <f>'Page 10-6 yr Budget-detail'!F26</f>
        <v>6531891.2999999998</v>
      </c>
      <c r="G7" s="28">
        <f>'Page 10-6 yr Budget-detail'!G26</f>
        <v>6802608.5819999985</v>
      </c>
      <c r="H7" s="28">
        <f>'Page 10-6 yr Budget-detail'!H26</f>
        <v>6907668.1739999987</v>
      </c>
    </row>
    <row r="8" spans="1:8" x14ac:dyDescent="0.2">
      <c r="A8" s="27" t="s">
        <v>171</v>
      </c>
      <c r="B8" s="24">
        <f>'Page 10-6 yr Budget-detail'!B27</f>
        <v>0</v>
      </c>
      <c r="C8" s="24">
        <f>'Page 10-6 yr Budget-detail'!C27</f>
        <v>0</v>
      </c>
      <c r="D8" s="24">
        <f>'Page 10-6 yr Budget-detail'!D27</f>
        <v>41094</v>
      </c>
      <c r="E8" s="24">
        <f>'Page 10-6 yr Budget-detail'!E27</f>
        <v>0</v>
      </c>
      <c r="F8" s="24">
        <f>'Page 10-6 yr Budget-detail'!F27</f>
        <v>0</v>
      </c>
      <c r="G8" s="24">
        <f>'Page 10-6 yr Budget-detail'!G27</f>
        <v>0</v>
      </c>
      <c r="H8" s="24">
        <f>'Page 10-6 yr Budget-detail'!H27</f>
        <v>0</v>
      </c>
    </row>
    <row r="9" spans="1:8" x14ac:dyDescent="0.2">
      <c r="A9" s="27" t="s">
        <v>455</v>
      </c>
      <c r="B9" s="24">
        <f>'Page 10-6 yr Budget-detail'!B9+'Page 10-6 yr Budget-detail'!B10</f>
        <v>0</v>
      </c>
      <c r="C9" s="24">
        <f>'Page 10-6 yr Budget-detail'!C9+'Page 10-6 yr Budget-detail'!C10</f>
        <v>0</v>
      </c>
      <c r="D9" s="24">
        <f>'Page 10-6 yr Budget-detail'!D9+'Page 10-6 yr Budget-detail'!D10</f>
        <v>12000</v>
      </c>
      <c r="E9" s="24">
        <f>'Page 10-6 yr Budget-detail'!E9+'Page 10-6 yr Budget-detail'!E10</f>
        <v>14000</v>
      </c>
      <c r="F9" s="24">
        <f>'Page 10-6 yr Budget-detail'!F9+'Page 10-6 yr Budget-detail'!F10</f>
        <v>15000</v>
      </c>
      <c r="G9" s="24">
        <f>'Page 10-6 yr Budget-detail'!G9+'Page 10-6 yr Budget-detail'!G10</f>
        <v>16000</v>
      </c>
      <c r="H9" s="24">
        <f>'Page 10-6 yr Budget-detail'!H9+'Page 10-6 yr Budget-detail'!H10</f>
        <v>20000</v>
      </c>
    </row>
    <row r="10" spans="1:8" x14ac:dyDescent="0.2">
      <c r="A10" s="27" t="s">
        <v>62</v>
      </c>
      <c r="B10" s="21">
        <f>SUM('Page 10-6 yr Budget-detail'!B16:B20)</f>
        <v>0</v>
      </c>
      <c r="C10" s="21">
        <f>SUM('Page 10-6 yr Budget-detail'!C16:C20)</f>
        <v>199108</v>
      </c>
      <c r="D10" s="21">
        <f>SUM('Page 10-6 yr Budget-detail'!D16:D20)</f>
        <v>203067</v>
      </c>
      <c r="E10" s="21">
        <f>SUM('Page 10-6 yr Budget-detail'!E16:E20)</f>
        <v>221778.75</v>
      </c>
      <c r="F10" s="21">
        <f>SUM('Page 10-6 yr Budget-detail'!F16:F20)</f>
        <v>278835.75</v>
      </c>
      <c r="G10" s="21">
        <f>SUM('Page 10-6 yr Budget-detail'!G16:G20)</f>
        <v>284687.75</v>
      </c>
      <c r="H10" s="21">
        <f>SUM('Page 10-6 yr Budget-detail'!H16:H20)</f>
        <v>290277.75</v>
      </c>
    </row>
    <row r="11" spans="1:8" x14ac:dyDescent="0.2">
      <c r="A11" s="27" t="s">
        <v>87</v>
      </c>
      <c r="B11" s="24">
        <f>SUM('Page 10-6 yr Budget-detail'!B21:B25)</f>
        <v>0</v>
      </c>
      <c r="C11" s="24">
        <f>SUM('Page 10-6 yr Budget-detail'!C21:C25)</f>
        <v>505969.5</v>
      </c>
      <c r="D11" s="24">
        <f>SUM('Page 10-6 yr Budget-detail'!D21:D25)</f>
        <v>221249.5</v>
      </c>
      <c r="E11" s="24">
        <f>SUM('Page 10-6 yr Budget-detail'!E21:E25)</f>
        <v>150493.75</v>
      </c>
      <c r="F11" s="24">
        <f>SUM('Page 10-6 yr Budget-detail'!F21:F25)</f>
        <v>189298.75</v>
      </c>
      <c r="G11" s="24">
        <f>SUM('Page 10-6 yr Budget-detail'!G21:G25)</f>
        <v>193278.75</v>
      </c>
      <c r="H11" s="24">
        <f>SUM('Page 10-6 yr Budget-detail'!H21:H25)</f>
        <v>199070.93181818182</v>
      </c>
    </row>
    <row r="12" spans="1:8" x14ac:dyDescent="0.2">
      <c r="A12" s="27" t="s">
        <v>63</v>
      </c>
      <c r="B12" s="24">
        <f>'Page 10-6 yr Budget-detail'!B8+'Page 10-6 yr Budget-detail'!B15</f>
        <v>600000</v>
      </c>
      <c r="C12" s="24">
        <f>'Page 10-6 yr Budget-detail'!C8+'Page 10-6 yr Budget-detail'!C15</f>
        <v>75000</v>
      </c>
      <c r="D12" s="24">
        <f>'Page 10-6 yr Budget-detail'!D8+'Page 10-6 yr Budget-detail'!D15</f>
        <v>32000</v>
      </c>
      <c r="E12" s="24">
        <f>'Page 10-6 yr Budget-detail'!E8+'Page 10-6 yr Budget-detail'!E15</f>
        <v>37000</v>
      </c>
      <c r="F12" s="24">
        <f>'Page 10-6 yr Budget-detail'!F8+'Page 10-6 yr Budget-detail'!F15</f>
        <v>30000</v>
      </c>
      <c r="G12" s="24">
        <f>'Page 10-6 yr Budget-detail'!G8+'Page 10-6 yr Budget-detail'!G15</f>
        <v>31000</v>
      </c>
      <c r="H12" s="24">
        <f>'Page 10-6 yr Budget-detail'!H8+'Page 10-6 yr Budget-detail'!H15</f>
        <v>31000</v>
      </c>
    </row>
    <row r="13" spans="1:8" x14ac:dyDescent="0.2">
      <c r="A13" s="27" t="s">
        <v>64</v>
      </c>
      <c r="B13" s="21">
        <f>'Page 10-6 yr Budget-detail'!B11</f>
        <v>0</v>
      </c>
      <c r="C13" s="21">
        <f>'Page 10-6 yr Budget-detail'!C11</f>
        <v>0</v>
      </c>
      <c r="D13" s="21">
        <f>'Page 10-6 yr Budget-detail'!D11</f>
        <v>1000</v>
      </c>
      <c r="E13" s="21">
        <f>'Page 10-6 yr Budget-detail'!E11</f>
        <v>1000</v>
      </c>
      <c r="F13" s="21">
        <f>'Page 10-6 yr Budget-detail'!F11</f>
        <v>5975.4880212358385</v>
      </c>
      <c r="G13" s="21">
        <f>'Page 10-6 yr Budget-detail'!G11</f>
        <v>5416.9021868259651</v>
      </c>
      <c r="H13" s="21">
        <f>'Page 10-6 yr Budget-detail'!H11</f>
        <v>5177.871929734144</v>
      </c>
    </row>
    <row r="14" spans="1:8" ht="13.5" thickBot="1" x14ac:dyDescent="0.25">
      <c r="A14" s="27" t="s">
        <v>65</v>
      </c>
      <c r="B14" s="22">
        <f>'Page 10-6 yr Budget-detail'!B12+'Page 10-6 yr Budget-detail'!B13+'Page 10-6 yr Budget-detail'!B14</f>
        <v>0</v>
      </c>
      <c r="C14" s="22">
        <f>'Page 10-6 yr Budget-detail'!C12+'Page 10-6 yr Budget-detail'!C13+'Page 10-6 yr Budget-detail'!C14</f>
        <v>267445</v>
      </c>
      <c r="D14" s="22">
        <f>'Page 10-6 yr Budget-detail'!D12+'Page 10-6 yr Budget-detail'!D13+'Page 10-6 yr Budget-detail'!D14</f>
        <v>198998</v>
      </c>
      <c r="E14" s="22">
        <f>'Page 10-6 yr Budget-detail'!E12+'Page 10-6 yr Budget-detail'!E13+'Page 10-6 yr Budget-detail'!E14</f>
        <v>229759.14122137404</v>
      </c>
      <c r="F14" s="22">
        <f>'Page 10-6 yr Budget-detail'!F12+'Page 10-6 yr Budget-detail'!F13+'Page 10-6 yr Budget-detail'!F14</f>
        <v>289002.82061068702</v>
      </c>
      <c r="G14" s="22">
        <f>'Page 10-6 yr Budget-detail'!G12+'Page 10-6 yr Budget-detail'!G13+'Page 10-6 yr Budget-detail'!G14</f>
        <v>295079.09541984735</v>
      </c>
      <c r="H14" s="22">
        <f>'Page 10-6 yr Budget-detail'!H12+'Page 10-6 yr Budget-detail'!H13+'Page 10-6 yr Budget-detail'!H14</f>
        <v>299178.28625954199</v>
      </c>
    </row>
    <row r="15" spans="1:8" x14ac:dyDescent="0.2">
      <c r="A15" s="32" t="s">
        <v>38</v>
      </c>
      <c r="B15" s="28">
        <f t="shared" ref="B15:G15" si="0">SUM(B7:B14)</f>
        <v>600000</v>
      </c>
      <c r="C15" s="20">
        <f t="shared" si="0"/>
        <v>5344314.0199999996</v>
      </c>
      <c r="D15" s="20">
        <f t="shared" si="0"/>
        <v>5032408.5</v>
      </c>
      <c r="E15" s="20">
        <f t="shared" si="0"/>
        <v>5745106.6412213743</v>
      </c>
      <c r="F15" s="20">
        <f t="shared" si="0"/>
        <v>7340004.1086319229</v>
      </c>
      <c r="G15" s="20">
        <f t="shared" si="0"/>
        <v>7628071.0796066718</v>
      </c>
      <c r="H15" s="20">
        <f t="shared" ref="H15" si="1">SUM(H7:H14)</f>
        <v>7752373.0140074566</v>
      </c>
    </row>
    <row r="16" spans="1:8" ht="6" customHeight="1" x14ac:dyDescent="0.2">
      <c r="A16" s="31"/>
      <c r="B16" s="24"/>
      <c r="C16" s="21"/>
      <c r="D16" s="21"/>
      <c r="E16" s="21"/>
      <c r="F16" s="21"/>
      <c r="G16" s="21"/>
      <c r="H16" s="21"/>
    </row>
    <row r="17" spans="1:8" x14ac:dyDescent="0.2">
      <c r="A17" s="32" t="s">
        <v>39</v>
      </c>
      <c r="B17" s="24"/>
      <c r="C17" s="21"/>
      <c r="D17" s="21"/>
      <c r="E17" s="21"/>
      <c r="F17" s="21"/>
      <c r="G17" s="21"/>
      <c r="H17" s="21"/>
    </row>
    <row r="18" spans="1:8" x14ac:dyDescent="0.2">
      <c r="A18" s="27" t="s">
        <v>66</v>
      </c>
      <c r="B18" s="24">
        <f>SUM('Page 10-6 yr Budget-detail'!B31:B38)</f>
        <v>74009.375</v>
      </c>
      <c r="C18" s="24">
        <f>SUM('Page 10-6 yr Budget-detail'!C31:C38)</f>
        <v>3243752.3200000003</v>
      </c>
      <c r="D18" s="24">
        <f>SUM('Page 10-6 yr Budget-detail'!D31:D38)</f>
        <v>3321251.3752000001</v>
      </c>
      <c r="E18" s="24">
        <f>SUM('Page 10-6 yr Budget-detail'!E31:E38)</f>
        <v>3694813.5922000008</v>
      </c>
      <c r="F18" s="24">
        <f>SUM('Page 10-6 yr Budget-detail'!F31:F38)</f>
        <v>4986529.4679023996</v>
      </c>
      <c r="G18" s="24">
        <f>SUM('Page 10-6 yr Budget-detail'!G31:G38)</f>
        <v>5141590.9154330567</v>
      </c>
      <c r="H18" s="24">
        <f>SUM('Page 10-6 yr Budget-detail'!H31:H38)</f>
        <v>5308042.2801830573</v>
      </c>
    </row>
    <row r="19" spans="1:8" x14ac:dyDescent="0.2">
      <c r="A19" s="27" t="s">
        <v>202</v>
      </c>
      <c r="B19" s="24">
        <f>SUM('Page 10-6 yr Budget-detail'!B59:B60)</f>
        <v>0</v>
      </c>
      <c r="C19" s="24">
        <f>SUM('Page 10-6 yr Budget-detail'!C59:C60)</f>
        <v>128899.91519999999</v>
      </c>
      <c r="D19" s="24">
        <f>SUM('Page 10-6 yr Budget-detail'!D59:D60)</f>
        <v>172920</v>
      </c>
      <c r="E19" s="24">
        <f>SUM('Page 10-6 yr Budget-detail'!E59:E60)</f>
        <v>203643</v>
      </c>
      <c r="F19" s="24">
        <f>SUM('Page 10-6 yr Budget-detail'!F59:F60)</f>
        <v>261275.652</v>
      </c>
      <c r="G19" s="24">
        <f>SUM('Page 10-6 yr Budget-detail'!G59:G60)</f>
        <v>272104.34327999991</v>
      </c>
      <c r="H19" s="24">
        <f>SUM('Page 10-6 yr Budget-detail'!H59:H60)</f>
        <v>276306.72695999994</v>
      </c>
    </row>
    <row r="20" spans="1:8" x14ac:dyDescent="0.2">
      <c r="A20" s="29" t="s">
        <v>67</v>
      </c>
      <c r="B20" s="24">
        <f>SUM('Page 10-6 yr Budget-detail'!B39:B46)+'Page 10-6 yr Budget-detail'!B51+SUM('Page 10-6 yr Budget-detail'!B53:B58)</f>
        <v>40276.25</v>
      </c>
      <c r="C20" s="24">
        <f>SUM('Page 10-6 yr Budget-detail'!C39:C46)+'Page 10-6 yr Budget-detail'!C51+SUM('Page 10-6 yr Budget-detail'!C53:C58)</f>
        <v>506147</v>
      </c>
      <c r="D20" s="24">
        <f>SUM('Page 10-6 yr Budget-detail'!D39:D46)+'Page 10-6 yr Budget-detail'!D51+SUM('Page 10-6 yr Budget-detail'!D53:D58)</f>
        <v>297555.16000000003</v>
      </c>
      <c r="E20" s="24">
        <f>SUM('Page 10-6 yr Budget-detail'!E39:E46)+'Page 10-6 yr Budget-detail'!E51+SUM('Page 10-6 yr Budget-detail'!E53:E58)</f>
        <v>337512.55599999998</v>
      </c>
      <c r="F20" s="24">
        <f>SUM('Page 10-6 yr Budget-detail'!F39:F46)+'Page 10-6 yr Budget-detail'!F51+SUM('Page 10-6 yr Budget-detail'!F53:F58)</f>
        <v>363329.21971199999</v>
      </c>
      <c r="G20" s="24">
        <f>SUM('Page 10-6 yr Budget-detail'!G39:G46)+'Page 10-6 yr Budget-detail'!G51+SUM('Page 10-6 yr Budget-detail'!G53:G58)</f>
        <v>388542.46959424001</v>
      </c>
      <c r="H20" s="24">
        <f>SUM('Page 10-6 yr Budget-detail'!H39:H46)+'Page 10-6 yr Budget-detail'!H51+SUM('Page 10-6 yr Budget-detail'!H53:H58)</f>
        <v>390666.80634423997</v>
      </c>
    </row>
    <row r="21" spans="1:8" x14ac:dyDescent="0.2">
      <c r="A21" s="29" t="s">
        <v>68</v>
      </c>
      <c r="B21" s="24">
        <f>SUM('Page 10-6 yr Budget-detail'!B47:B50)+'Page 10-6 yr Budget-detail'!B66-B22</f>
        <v>0</v>
      </c>
      <c r="C21" s="24">
        <f>SUM('Page 10-6 yr Budget-detail'!C47:C50)+'Page 10-6 yr Budget-detail'!C66-C22</f>
        <v>258220</v>
      </c>
      <c r="D21" s="24">
        <f>SUM('Page 10-6 yr Budget-detail'!D47:D50)+'Page 10-6 yr Budget-detail'!D66-D22</f>
        <v>234220</v>
      </c>
      <c r="E21" s="24">
        <f>SUM('Page 10-6 yr Budget-detail'!E47:E50)+'Page 10-6 yr Budget-detail'!E66-E22</f>
        <v>250297.66999999993</v>
      </c>
      <c r="F21" s="24">
        <f>SUM('Page 10-6 yr Budget-detail'!F47:F50)+'Page 10-6 yr Budget-detail'!F66-F22</f>
        <v>263706.69330000016</v>
      </c>
      <c r="G21" s="24">
        <f>SUM('Page 10-6 yr Budget-detail'!G47:G50)+'Page 10-6 yr Budget-detail'!G66-G22</f>
        <v>287737.36263000011</v>
      </c>
      <c r="H21" s="24">
        <f>SUM('Page 10-6 yr Budget-detail'!H47:H50)+'Page 10-6 yr Budget-detail'!H66-H22</f>
        <v>281011.62420000019</v>
      </c>
    </row>
    <row r="22" spans="1:8" x14ac:dyDescent="0.2">
      <c r="A22" s="27" t="s">
        <v>69</v>
      </c>
      <c r="B22" s="24">
        <f>'Page 10-6 yr Budget-detail'!B50</f>
        <v>37478</v>
      </c>
      <c r="C22" s="24">
        <f>'Page 10-6 yr Budget-detail'!C50</f>
        <v>648000</v>
      </c>
      <c r="D22" s="24">
        <f>'Page 10-6 yr Budget-detail'!D50</f>
        <v>744000</v>
      </c>
      <c r="E22" s="24">
        <f>'Page 10-6 yr Budget-detail'!E50</f>
        <v>1018215</v>
      </c>
      <c r="F22" s="24">
        <f>'Page 10-6 yr Budget-detail'!F50</f>
        <v>1306378.26</v>
      </c>
      <c r="G22" s="24">
        <f>'Page 10-6 yr Budget-detail'!G50</f>
        <v>1360521.7163999998</v>
      </c>
      <c r="H22" s="24">
        <f>'Page 10-6 yr Budget-detail'!H50</f>
        <v>1381533.6347999999</v>
      </c>
    </row>
    <row r="23" spans="1:8" x14ac:dyDescent="0.2">
      <c r="A23" s="29" t="s">
        <v>88</v>
      </c>
      <c r="B23" s="24">
        <f>'Page 10-6 yr Budget-detail'!B71</f>
        <v>0</v>
      </c>
      <c r="C23" s="24">
        <f>'Page 10-6 yr Budget-detail'!C71</f>
        <v>5800</v>
      </c>
      <c r="D23" s="24">
        <f>'Page 10-6 yr Budget-detail'!D71</f>
        <v>2647.3867595818815</v>
      </c>
      <c r="E23" s="24">
        <f>'Page 10-6 yr Budget-detail'!E71</f>
        <v>6000</v>
      </c>
      <c r="F23" s="24">
        <f>'Page 10-6 yr Budget-detail'!F71</f>
        <v>7547.1074380165292</v>
      </c>
      <c r="G23" s="24">
        <f>'Page 10-6 yr Budget-detail'!G71</f>
        <v>7705.7851239669417</v>
      </c>
      <c r="H23" s="24">
        <f>'Page 10-6 yr Budget-detail'!H71</f>
        <v>7705.7851239669417</v>
      </c>
    </row>
    <row r="24" spans="1:8" x14ac:dyDescent="0.2">
      <c r="A24" s="27" t="s">
        <v>70</v>
      </c>
      <c r="B24" s="24">
        <f>SUM('Page 10-6 yr Budget-detail'!B61:B63)</f>
        <v>300</v>
      </c>
      <c r="C24" s="24">
        <f>SUM('Page 10-6 yr Budget-detail'!C61:C63)</f>
        <v>33383</v>
      </c>
      <c r="D24" s="24">
        <f>SUM('Page 10-6 yr Budget-detail'!D61:D63)</f>
        <v>39156</v>
      </c>
      <c r="E24" s="24">
        <f>SUM('Page 10-6 yr Budget-detail'!E61:E63)</f>
        <v>44165</v>
      </c>
      <c r="F24" s="24">
        <f>SUM('Page 10-6 yr Budget-detail'!F61:F63)</f>
        <v>55553</v>
      </c>
      <c r="G24" s="24">
        <f>SUM('Page 10-6 yr Budget-detail'!G61:G63)</f>
        <v>56721</v>
      </c>
      <c r="H24" s="24">
        <f>SUM('Page 10-6 yr Budget-detail'!H61:H63)</f>
        <v>57021</v>
      </c>
    </row>
    <row r="25" spans="1:8" x14ac:dyDescent="0.2">
      <c r="A25" s="27" t="s">
        <v>71</v>
      </c>
      <c r="B25" s="24">
        <f>SUM('Page 10-6 yr Budget-detail'!B64:B65)</f>
        <v>300000</v>
      </c>
      <c r="C25" s="24">
        <f>SUM('Page 10-6 yr Budget-detail'!C64:C65)</f>
        <v>479945</v>
      </c>
      <c r="D25" s="24">
        <f>SUM('Page 10-6 yr Budget-detail'!D64:D65)</f>
        <v>51000</v>
      </c>
      <c r="E25" s="24">
        <f>SUM('Page 10-6 yr Budget-detail'!E64:E65)</f>
        <v>52044</v>
      </c>
      <c r="F25" s="24">
        <f>SUM('Page 10-6 yr Budget-detail'!F64:F65)</f>
        <v>52194</v>
      </c>
      <c r="G25" s="24">
        <f>SUM('Page 10-6 yr Budget-detail'!G64:G65)</f>
        <v>52359</v>
      </c>
      <c r="H25" s="24">
        <f>SUM('Page 10-6 yr Budget-detail'!H64:H65)</f>
        <v>52359</v>
      </c>
    </row>
    <row r="26" spans="1:8" x14ac:dyDescent="0.2">
      <c r="A26" s="27" t="s">
        <v>72</v>
      </c>
      <c r="B26" s="24">
        <f>SUM('Page 10-6 yr Budget-detail'!B68)+'Page 10-6 yr Budget-detail'!B67</f>
        <v>59500</v>
      </c>
      <c r="C26" s="24">
        <f>SUM('Page 10-6 yr Budget-detail'!C68)+'Page 10-6 yr Budget-detail'!C67</f>
        <v>101400</v>
      </c>
      <c r="D26" s="24">
        <f>SUM('Page 10-6 yr Budget-detail'!D68)+'Page 10-6 yr Budget-detail'!D67</f>
        <v>10000</v>
      </c>
      <c r="E26" s="24">
        <f>SUM('Page 10-6 yr Budget-detail'!E68)+'Page 10-6 yr Budget-detail'!E67</f>
        <v>9200</v>
      </c>
      <c r="F26" s="24">
        <f>SUM('Page 10-6 yr Budget-detail'!F68)+'Page 10-6 yr Budget-detail'!F67</f>
        <v>9200</v>
      </c>
      <c r="G26" s="24">
        <f>SUM('Page 10-6 yr Budget-detail'!G68)+'Page 10-6 yr Budget-detail'!G67</f>
        <v>9200</v>
      </c>
      <c r="H26" s="24">
        <f>SUM('Page 10-6 yr Budget-detail'!H68)+'Page 10-6 yr Budget-detail'!H67</f>
        <v>9200</v>
      </c>
    </row>
    <row r="27" spans="1:8" x14ac:dyDescent="0.2">
      <c r="A27" s="27" t="s">
        <v>73</v>
      </c>
      <c r="B27" s="24">
        <f>'Page 10-6 yr Budget-detail'!B52</f>
        <v>0</v>
      </c>
      <c r="C27" s="24">
        <f>'Page 10-6 yr Budget-detail'!C52</f>
        <v>44000</v>
      </c>
      <c r="D27" s="24">
        <f>'Page 10-6 yr Budget-detail'!D52</f>
        <v>42000</v>
      </c>
      <c r="E27" s="24">
        <f>'Page 10-6 yr Budget-detail'!E52</f>
        <v>46000</v>
      </c>
      <c r="F27" s="24">
        <f>'Page 10-6 yr Budget-detail'!F52</f>
        <v>47000</v>
      </c>
      <c r="G27" s="24">
        <f>'Page 10-6 yr Budget-detail'!G52</f>
        <v>48000</v>
      </c>
      <c r="H27" s="24">
        <f>'Page 10-6 yr Budget-detail'!H52</f>
        <v>49000</v>
      </c>
    </row>
    <row r="28" spans="1:8" x14ac:dyDescent="0.2">
      <c r="A28" s="27" t="s">
        <v>74</v>
      </c>
      <c r="B28" s="24">
        <f>'Page 10-6 yr Budget-detail'!B70</f>
        <v>0</v>
      </c>
      <c r="C28" s="24">
        <f>'Page 10-6 yr Budget-detail'!C70</f>
        <v>0</v>
      </c>
      <c r="D28" s="24">
        <f>'Page 10-6 yr Budget-detail'!D70</f>
        <v>30000</v>
      </c>
      <c r="E28" s="24">
        <f>'Page 10-6 yr Budget-detail'!E70</f>
        <v>0</v>
      </c>
      <c r="F28" s="24">
        <f>'Page 10-6 yr Budget-detail'!F70</f>
        <v>0</v>
      </c>
      <c r="G28" s="24">
        <f>'Page 10-6 yr Budget-detail'!G70</f>
        <v>0</v>
      </c>
      <c r="H28" s="24">
        <f>'Page 10-6 yr Budget-detail'!H70</f>
        <v>0</v>
      </c>
    </row>
    <row r="29" spans="1:8" ht="13.5" thickBot="1" x14ac:dyDescent="0.25">
      <c r="A29" s="27" t="s">
        <v>75</v>
      </c>
      <c r="B29" s="24">
        <f>'Page 10-6 yr Budget-detail'!B69+'Page 10-6 yr Budget-detail'!B72</f>
        <v>51801</v>
      </c>
      <c r="C29" s="24">
        <f>'Page 10-6 yr Budget-detail'!C69+'Page 10-6 yr Budget-detail'!C72</f>
        <v>4600</v>
      </c>
      <c r="D29" s="24">
        <f>'Page 10-6 yr Budget-detail'!D69+'Page 10-6 yr Budget-detail'!D72</f>
        <v>5000</v>
      </c>
      <c r="E29" s="24">
        <f>'Page 10-6 yr Budget-detail'!E69+'Page 10-6 yr Budget-detail'!E72</f>
        <v>12100</v>
      </c>
      <c r="F29" s="24">
        <f>'Page 10-6 yr Budget-detail'!F69+'Page 10-6 yr Budget-detail'!F72</f>
        <v>15220</v>
      </c>
      <c r="G29" s="24">
        <f>'Page 10-6 yr Budget-detail'!G69+'Page 10-6 yr Budget-detail'!G72</f>
        <v>15540</v>
      </c>
      <c r="H29" s="24">
        <f>'Page 10-6 yr Budget-detail'!H69+'Page 10-6 yr Budget-detail'!H72</f>
        <v>15540</v>
      </c>
    </row>
    <row r="30" spans="1:8" ht="13.5" thickBot="1" x14ac:dyDescent="0.25">
      <c r="A30" s="32" t="s">
        <v>40</v>
      </c>
      <c r="B30" s="30">
        <f t="shared" ref="B30:G30" si="2">SUM(B18:B29)</f>
        <v>563364.625</v>
      </c>
      <c r="C30" s="23">
        <f t="shared" si="2"/>
        <v>5454147.2352000009</v>
      </c>
      <c r="D30" s="23">
        <f t="shared" si="2"/>
        <v>4949749.9219595818</v>
      </c>
      <c r="E30" s="23">
        <f t="shared" si="2"/>
        <v>5673990.8182000006</v>
      </c>
      <c r="F30" s="23">
        <f t="shared" si="2"/>
        <v>7367933.4003524166</v>
      </c>
      <c r="G30" s="23">
        <f t="shared" si="2"/>
        <v>7640022.5924612638</v>
      </c>
      <c r="H30" s="23">
        <f t="shared" ref="H30" si="3">SUM(H18:H29)</f>
        <v>7828386.8576112641</v>
      </c>
    </row>
    <row r="31" spans="1:8" ht="13.5" customHeight="1" x14ac:dyDescent="0.2">
      <c r="A31" s="32" t="s">
        <v>82</v>
      </c>
      <c r="B31" s="24">
        <f t="shared" ref="B31:G31" si="4">B15-B30</f>
        <v>36635.375</v>
      </c>
      <c r="C31" s="21">
        <f t="shared" si="4"/>
        <v>-109833.21520000137</v>
      </c>
      <c r="D31" s="21">
        <f t="shared" si="4"/>
        <v>82658.578040418215</v>
      </c>
      <c r="E31" s="21">
        <f t="shared" si="4"/>
        <v>71115.823021373712</v>
      </c>
      <c r="F31" s="21">
        <f t="shared" si="4"/>
        <v>-27929.291720493697</v>
      </c>
      <c r="G31" s="21">
        <f t="shared" si="4"/>
        <v>-11951.512854591943</v>
      </c>
      <c r="H31" s="21">
        <f t="shared" ref="H31" si="5">H15-H30</f>
        <v>-76013.843603807501</v>
      </c>
    </row>
    <row r="32" spans="1:8" ht="6.75" customHeight="1" x14ac:dyDescent="0.2">
      <c r="A32" s="31"/>
      <c r="B32" s="24"/>
      <c r="C32" s="21"/>
      <c r="D32" s="21"/>
      <c r="E32" s="21"/>
      <c r="F32" s="21"/>
      <c r="G32" s="21"/>
      <c r="H32" s="21"/>
    </row>
    <row r="33" spans="1:8" ht="13.5" customHeight="1" x14ac:dyDescent="0.2">
      <c r="A33" s="32" t="s">
        <v>83</v>
      </c>
      <c r="B33" s="24"/>
      <c r="C33" s="21"/>
      <c r="D33" s="24"/>
      <c r="E33" s="24"/>
      <c r="F33" s="24"/>
      <c r="G33" s="24"/>
      <c r="H33" s="24"/>
    </row>
    <row r="34" spans="1:8" ht="13.5" customHeight="1" x14ac:dyDescent="0.2">
      <c r="A34" s="70" t="s">
        <v>187</v>
      </c>
      <c r="B34" s="21"/>
      <c r="C34" s="21">
        <f>'Page 5-Year 1'!E78</f>
        <v>0</v>
      </c>
      <c r="D34" s="24">
        <f>'Page 6-Year 2'!E78</f>
        <v>0</v>
      </c>
      <c r="E34" s="24">
        <f>'Page 7-Year 3'!E78</f>
        <v>0</v>
      </c>
      <c r="F34" s="24">
        <f>'Page 8-Year 4'!E78</f>
        <v>0</v>
      </c>
      <c r="G34" s="24">
        <f>'Page 9-Year 5'!E78</f>
        <v>0</v>
      </c>
      <c r="H34" s="24">
        <f>'Page 9-Year 5'!F78</f>
        <v>0</v>
      </c>
    </row>
    <row r="35" spans="1:8" ht="13.5" customHeight="1" thickBot="1" x14ac:dyDescent="0.25">
      <c r="A35" s="70" t="s">
        <v>454</v>
      </c>
      <c r="B35" s="22"/>
      <c r="C35" s="22">
        <f>'Page 5-Year 1'!E79</f>
        <v>-15150.335599999991</v>
      </c>
      <c r="D35" s="22">
        <f>'Page 6-Year 2'!E79</f>
        <v>815.56560000000172</v>
      </c>
      <c r="E35" s="22">
        <f>'Page 7-Year 3'!E79</f>
        <v>-15740.254236641224</v>
      </c>
      <c r="F35" s="22">
        <f>'Page 8-Year 4'!E79</f>
        <v>-45181.064022316452</v>
      </c>
      <c r="G35" s="22">
        <f>'Page 9-Year 5'!E79</f>
        <v>-8317.0491292424849</v>
      </c>
      <c r="H35" s="22">
        <f>'Page 9-Year 6 '!E79</f>
        <v>-11704.641706720577</v>
      </c>
    </row>
    <row r="36" spans="1:8" ht="13.5" thickBot="1" x14ac:dyDescent="0.25">
      <c r="A36" s="269" t="s">
        <v>45</v>
      </c>
      <c r="B36" s="81">
        <f t="shared" ref="B36:G36" si="6">SUM(B31:B35)</f>
        <v>36635.375</v>
      </c>
      <c r="C36" s="81">
        <f t="shared" si="6"/>
        <v>-124983.55080000137</v>
      </c>
      <c r="D36" s="81">
        <f t="shared" si="6"/>
        <v>83474.143640418217</v>
      </c>
      <c r="E36" s="81">
        <f t="shared" si="6"/>
        <v>55375.568784732488</v>
      </c>
      <c r="F36" s="81">
        <f t="shared" si="6"/>
        <v>-73110.355742810149</v>
      </c>
      <c r="G36" s="81">
        <f t="shared" si="6"/>
        <v>-20268.561983834428</v>
      </c>
      <c r="H36" s="81">
        <f t="shared" ref="H36" si="7">SUM(H31:H35)</f>
        <v>-87718.485310528078</v>
      </c>
    </row>
    <row r="37" spans="1:8" ht="12.75" customHeight="1" thickTop="1" x14ac:dyDescent="0.2">
      <c r="A37" s="269"/>
      <c r="B37" s="78"/>
      <c r="C37" s="78"/>
      <c r="D37" s="78"/>
      <c r="E37" s="78"/>
      <c r="F37" s="78"/>
      <c r="G37" s="78"/>
      <c r="H37" s="78"/>
    </row>
    <row r="38" spans="1:8" ht="3" customHeight="1" x14ac:dyDescent="0.2">
      <c r="A38" s="269"/>
      <c r="B38" s="78"/>
      <c r="C38" s="78"/>
      <c r="D38" s="78"/>
      <c r="E38" s="78"/>
      <c r="F38" s="78"/>
      <c r="G38" s="78"/>
      <c r="H38" s="78"/>
    </row>
    <row r="39" spans="1:8" x14ac:dyDescent="0.2">
      <c r="A39" s="25" t="s">
        <v>95</v>
      </c>
      <c r="B39" s="78">
        <f>'Page 10-6 yr Budget-detail'!B83</f>
        <v>0</v>
      </c>
      <c r="C39" s="78">
        <f>'Page 10-6 yr Budget-detail'!C83</f>
        <v>215329</v>
      </c>
      <c r="D39" s="78">
        <f>'Page 10-6 yr Budget-detail'!D83</f>
        <v>145000</v>
      </c>
      <c r="E39" s="78">
        <f>'Page 10-6 yr Budget-detail'!E83</f>
        <v>227658.57804041822</v>
      </c>
      <c r="F39" s="78">
        <f>'Page 10-6 yr Budget-detail'!F83</f>
        <v>298774.40106179193</v>
      </c>
      <c r="G39" s="78">
        <f>'Page 10-6 yr Budget-detail'!G83</f>
        <v>270845.10934129823</v>
      </c>
      <c r="H39" s="78">
        <f>'Page 10-6 yr Budget-detail'!H83</f>
        <v>258893.59648670722</v>
      </c>
    </row>
    <row r="40" spans="1:8" ht="3" customHeight="1" x14ac:dyDescent="0.2">
      <c r="A40" s="25"/>
      <c r="B40" s="78"/>
      <c r="C40" s="78"/>
      <c r="D40" s="78"/>
      <c r="E40" s="78"/>
      <c r="F40" s="78"/>
      <c r="G40" s="78"/>
      <c r="H40" s="78"/>
    </row>
    <row r="41" spans="1:8" x14ac:dyDescent="0.2">
      <c r="A41" s="25" t="s">
        <v>96</v>
      </c>
      <c r="B41" s="78">
        <f>'Page 10-6 yr Budget-detail'!B85</f>
        <v>215000</v>
      </c>
      <c r="C41" s="78">
        <f>'Page 10-6 yr Budget-detail'!C85</f>
        <v>105495.78479999956</v>
      </c>
      <c r="D41" s="78">
        <f>'Page 10-6 yr Budget-detail'!D85</f>
        <v>227658.57804041822</v>
      </c>
      <c r="E41" s="78">
        <f>'Page 10-6 yr Budget-detail'!E85</f>
        <v>298774.40106179193</v>
      </c>
      <c r="F41" s="78">
        <f>'Page 10-6 yr Budget-detail'!F85</f>
        <v>270845.10934129823</v>
      </c>
      <c r="G41" s="78">
        <f>'Page 10-6 yr Budget-detail'!G85</f>
        <v>258893.59648670722</v>
      </c>
      <c r="H41" s="78">
        <f>'Page 10-6 yr Budget-detail'!H85</f>
        <v>182879.75288290065</v>
      </c>
    </row>
    <row r="42" spans="1:8" x14ac:dyDescent="0.2">
      <c r="A42" s="70" t="s">
        <v>97</v>
      </c>
      <c r="B42" s="75">
        <f>'Page 10-6 yr Budget-detail'!B86</f>
        <v>130000</v>
      </c>
      <c r="C42" s="75">
        <f>'Page 10-6 yr Budget-detail'!C86</f>
        <v>145150.33559999999</v>
      </c>
      <c r="D42" s="75">
        <f>'Page 10-6 yr Budget-detail'!D86</f>
        <v>144334.76999999999</v>
      </c>
      <c r="E42" s="75">
        <f>'Page 10-6 yr Budget-detail'!E86</f>
        <v>160075.02423664121</v>
      </c>
      <c r="F42" s="75">
        <f>'Page 10-6 yr Budget-detail'!F86</f>
        <v>205256.08825895766</v>
      </c>
      <c r="G42" s="75">
        <f>'Page 10-6 yr Budget-detail'!G86</f>
        <v>213573.13738820015</v>
      </c>
      <c r="H42" s="75">
        <f>'Page 10-6 yr Budget-detail'!H86</f>
        <v>216960.72996567824</v>
      </c>
    </row>
    <row r="43" spans="1:8" x14ac:dyDescent="0.2">
      <c r="A43" s="70" t="s">
        <v>98</v>
      </c>
      <c r="B43" s="75">
        <f>'Page 10-6 yr Budget-detail'!B87</f>
        <v>85000</v>
      </c>
      <c r="C43" s="75">
        <f>'Page 10-6 yr Budget-detail'!C87</f>
        <v>-39654.550800000434</v>
      </c>
      <c r="D43" s="75">
        <f>'Page 10-6 yr Budget-detail'!D87</f>
        <v>30923.808040418226</v>
      </c>
      <c r="E43" s="75">
        <f>'Page 10-6 yr Budget-detail'!E87</f>
        <v>138699.37682515071</v>
      </c>
      <c r="F43" s="75">
        <f>'Page 10-6 yr Budget-detail'!F87</f>
        <v>65589.021082340565</v>
      </c>
      <c r="G43" s="75">
        <f>'Page 10-6 yr Budget-detail'!G87</f>
        <v>45320.459098507068</v>
      </c>
      <c r="H43" s="75">
        <f>'Page 10-6 yr Budget-detail'!H87</f>
        <v>-34080.977082777594</v>
      </c>
    </row>
    <row r="44" spans="1:8" ht="13.5" thickBot="1" x14ac:dyDescent="0.25">
      <c r="A44" s="77" t="s">
        <v>101</v>
      </c>
      <c r="B44" s="79">
        <f>'Page 10-6 yr Budget-detail'!B88</f>
        <v>0.15087919302707373</v>
      </c>
      <c r="C44" s="79">
        <f>'Page 10-6 yr Budget-detail'!C88</f>
        <v>-7.270531778841194E-3</v>
      </c>
      <c r="D44" s="79">
        <f>'Page 10-6 yr Budget-detail'!D88</f>
        <v>6.2475495788634995E-3</v>
      </c>
      <c r="E44" s="79">
        <f>'Page 10-6 yr Budget-detail'!E88</f>
        <v>2.4444765821660473E-2</v>
      </c>
      <c r="F44" s="79">
        <f>'Page 10-6 yr Budget-detail'!F88</f>
        <v>8.9019562906477098E-3</v>
      </c>
      <c r="G44" s="79">
        <f>'Page 10-6 yr Budget-detail'!G88</f>
        <v>5.9319797225765676E-3</v>
      </c>
      <c r="H44" s="79">
        <f>'Page 10-6 yr Budget-detail'!H88</f>
        <v>-4.3535121223144289E-3</v>
      </c>
    </row>
    <row r="47" spans="1:8" x14ac:dyDescent="0.2">
      <c r="C47" s="38"/>
    </row>
  </sheetData>
  <phoneticPr fontId="2" type="noConversion"/>
  <printOptions horizontalCentered="1"/>
  <pageMargins left="0.17" right="0.17" top="0.45" bottom="0.16" header="0.25" footer="0.23"/>
  <pageSetup scale="92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90" zoomScaleNormal="100" zoomScaleSheetLayoutView="90" workbookViewId="0">
      <selection activeCell="B27" sqref="B27"/>
    </sheetView>
  </sheetViews>
  <sheetFormatPr defaultRowHeight="12.75" x14ac:dyDescent="0.2"/>
  <cols>
    <col min="1" max="1" width="4.7109375" customWidth="1"/>
    <col min="2" max="2" width="7.140625" customWidth="1"/>
    <col min="3" max="3" width="40.7109375" bestFit="1" customWidth="1"/>
    <col min="4" max="4" width="12.42578125" customWidth="1"/>
    <col min="5" max="5" width="9.7109375" style="331" customWidth="1"/>
    <col min="6" max="6" width="10" style="332" customWidth="1"/>
    <col min="7" max="7" width="12.140625" style="332" customWidth="1"/>
    <col min="8" max="8" width="9.5703125" customWidth="1"/>
    <col min="10" max="10" width="11.7109375" style="331" bestFit="1" customWidth="1"/>
    <col min="11" max="11" width="11" style="331" customWidth="1"/>
    <col min="12" max="13" width="9.140625" style="331"/>
  </cols>
  <sheetData>
    <row r="1" spans="1:13" ht="15" x14ac:dyDescent="0.25">
      <c r="A1" s="313" t="s">
        <v>269</v>
      </c>
      <c r="B1" s="314"/>
      <c r="C1" s="315"/>
      <c r="D1" s="315"/>
      <c r="E1"/>
      <c r="F1" s="315"/>
      <c r="G1" s="315"/>
      <c r="H1" s="315"/>
      <c r="J1"/>
      <c r="K1"/>
      <c r="L1"/>
      <c r="M1"/>
    </row>
    <row r="2" spans="1:13" ht="15" x14ac:dyDescent="0.25">
      <c r="A2" s="313" t="s">
        <v>443</v>
      </c>
      <c r="B2" s="316"/>
      <c r="C2" s="315"/>
      <c r="D2" s="317"/>
      <c r="E2"/>
      <c r="F2" s="315"/>
      <c r="G2" s="315"/>
      <c r="H2" s="315"/>
      <c r="J2"/>
      <c r="K2"/>
      <c r="L2"/>
      <c r="M2"/>
    </row>
    <row r="3" spans="1:13" ht="15" x14ac:dyDescent="0.25">
      <c r="A3" s="313" t="s">
        <v>332</v>
      </c>
      <c r="B3" s="316"/>
      <c r="C3" s="315"/>
      <c r="D3" s="314"/>
      <c r="E3"/>
      <c r="F3" s="315"/>
      <c r="G3" s="315"/>
      <c r="H3" s="315"/>
      <c r="J3"/>
      <c r="K3"/>
      <c r="L3"/>
      <c r="M3"/>
    </row>
    <row r="4" spans="1:13" s="327" customFormat="1" ht="79.5" customHeight="1" x14ac:dyDescent="0.2">
      <c r="D4" s="337" t="s">
        <v>334</v>
      </c>
      <c r="E4" s="328" t="s">
        <v>335</v>
      </c>
      <c r="F4" s="329" t="s">
        <v>336</v>
      </c>
      <c r="G4" s="329" t="s">
        <v>359</v>
      </c>
      <c r="H4" s="327" t="s">
        <v>337</v>
      </c>
      <c r="J4" s="330"/>
      <c r="K4" s="330"/>
      <c r="L4" s="330"/>
      <c r="M4" s="330"/>
    </row>
    <row r="5" spans="1:13" ht="15.75" thickBot="1" x14ac:dyDescent="0.3">
      <c r="A5" s="313" t="s">
        <v>338</v>
      </c>
      <c r="K5" s="330"/>
    </row>
    <row r="6" spans="1:13" ht="13.5" thickBot="1" x14ac:dyDescent="0.25">
      <c r="C6" t="s">
        <v>339</v>
      </c>
      <c r="D6" s="333">
        <f>F6*E6*3*(1-G6)</f>
        <v>9000</v>
      </c>
      <c r="E6" s="331">
        <v>75</v>
      </c>
      <c r="F6" s="332">
        <v>50</v>
      </c>
      <c r="G6" s="334">
        <v>0.2</v>
      </c>
      <c r="H6" t="s">
        <v>340</v>
      </c>
    </row>
    <row r="7" spans="1:13" x14ac:dyDescent="0.2">
      <c r="K7" s="330"/>
    </row>
    <row r="8" spans="1:13" ht="15" x14ac:dyDescent="0.25">
      <c r="A8" s="313" t="s">
        <v>341</v>
      </c>
      <c r="B8" s="313"/>
      <c r="K8" s="330"/>
    </row>
    <row r="9" spans="1:13" ht="15" x14ac:dyDescent="0.25">
      <c r="A9" s="313"/>
      <c r="B9" s="313" t="s">
        <v>342</v>
      </c>
      <c r="K9" s="330"/>
    </row>
    <row r="10" spans="1:13" x14ac:dyDescent="0.2">
      <c r="C10" t="s">
        <v>343</v>
      </c>
      <c r="D10" s="331">
        <f>F10*E10*9*(1-G10)</f>
        <v>42120</v>
      </c>
      <c r="E10" s="331">
        <f>(25*150+35*60)/210</f>
        <v>27.857142857142858</v>
      </c>
      <c r="F10" s="332">
        <v>210</v>
      </c>
      <c r="G10" s="334">
        <v>0.2</v>
      </c>
      <c r="H10" t="s">
        <v>344</v>
      </c>
    </row>
    <row r="11" spans="1:13" x14ac:dyDescent="0.2">
      <c r="C11" t="s">
        <v>345</v>
      </c>
      <c r="D11" s="331">
        <f>D24</f>
        <v>146812.5</v>
      </c>
      <c r="G11" s="334"/>
    </row>
    <row r="12" spans="1:13" x14ac:dyDescent="0.2">
      <c r="C12" t="s">
        <v>346</v>
      </c>
      <c r="D12" s="331">
        <f>F12*E12*(1-G12)</f>
        <v>74250</v>
      </c>
      <c r="E12" s="331">
        <v>200</v>
      </c>
      <c r="F12" s="332">
        <f>564-69</f>
        <v>495</v>
      </c>
      <c r="G12" s="334">
        <v>0.25</v>
      </c>
      <c r="H12" t="s">
        <v>347</v>
      </c>
    </row>
    <row r="13" spans="1:13" x14ac:dyDescent="0.2">
      <c r="C13" t="s">
        <v>348</v>
      </c>
      <c r="D13" s="331">
        <f>F13*E13</f>
        <v>5000</v>
      </c>
      <c r="E13" s="331">
        <v>50</v>
      </c>
      <c r="F13" s="332">
        <v>100</v>
      </c>
      <c r="G13" s="334"/>
      <c r="H13" t="s">
        <v>347</v>
      </c>
    </row>
    <row r="14" spans="1:13" ht="15" x14ac:dyDescent="0.25">
      <c r="B14" s="313" t="s">
        <v>349</v>
      </c>
      <c r="D14" s="331"/>
      <c r="G14" s="334"/>
    </row>
    <row r="15" spans="1:13" x14ac:dyDescent="0.2">
      <c r="C15" t="s">
        <v>350</v>
      </c>
      <c r="D15" s="331">
        <v>12500</v>
      </c>
      <c r="G15" s="334"/>
    </row>
    <row r="16" spans="1:13" x14ac:dyDescent="0.2">
      <c r="C16" t="s">
        <v>351</v>
      </c>
      <c r="D16" s="331">
        <v>10000</v>
      </c>
    </row>
    <row r="17" spans="1:8" ht="13.5" thickBot="1" x14ac:dyDescent="0.25">
      <c r="C17" t="s">
        <v>352</v>
      </c>
      <c r="D17" s="331">
        <v>24000</v>
      </c>
      <c r="G17" s="334"/>
    </row>
    <row r="18" spans="1:8" ht="15.75" thickBot="1" x14ac:dyDescent="0.3">
      <c r="C18" s="325" t="s">
        <v>316</v>
      </c>
      <c r="D18" s="335">
        <f>SUM(D10:D17)</f>
        <v>314682.5</v>
      </c>
    </row>
    <row r="19" spans="1:8" ht="15" x14ac:dyDescent="0.25">
      <c r="C19" s="325"/>
      <c r="D19" s="336"/>
    </row>
    <row r="20" spans="1:8" ht="15" x14ac:dyDescent="0.25">
      <c r="A20" s="313" t="s">
        <v>353</v>
      </c>
    </row>
    <row r="21" spans="1:8" x14ac:dyDescent="0.2">
      <c r="C21" t="s">
        <v>354</v>
      </c>
      <c r="D21" s="331">
        <f>F21*E21*9*(1-G21)</f>
        <v>42187.5</v>
      </c>
      <c r="E21" s="331">
        <v>250</v>
      </c>
      <c r="F21" s="332">
        <v>25</v>
      </c>
      <c r="G21" s="334">
        <v>0.25</v>
      </c>
      <c r="H21" t="s">
        <v>344</v>
      </c>
    </row>
    <row r="22" spans="1:8" x14ac:dyDescent="0.2">
      <c r="C22" t="s">
        <v>355</v>
      </c>
      <c r="D22" s="331">
        <f>F22*E22*9*(1-G22)</f>
        <v>47250</v>
      </c>
      <c r="E22" s="331">
        <v>280</v>
      </c>
      <c r="F22" s="332">
        <v>25</v>
      </c>
      <c r="G22" s="334">
        <v>0.25</v>
      </c>
      <c r="H22" t="s">
        <v>344</v>
      </c>
    </row>
    <row r="23" spans="1:8" x14ac:dyDescent="0.2">
      <c r="C23" t="s">
        <v>356</v>
      </c>
      <c r="D23" s="331">
        <f>F23*E23*9*(1-G23)</f>
        <v>57375</v>
      </c>
      <c r="E23" s="331">
        <v>340</v>
      </c>
      <c r="F23" s="332">
        <v>25</v>
      </c>
      <c r="G23" s="334">
        <v>0.25</v>
      </c>
      <c r="H23" t="s">
        <v>344</v>
      </c>
    </row>
    <row r="24" spans="1:8" ht="15" x14ac:dyDescent="0.25">
      <c r="C24" s="325" t="s">
        <v>316</v>
      </c>
      <c r="D24" s="336">
        <f>SUM(D21:D23)</f>
        <v>146812.5</v>
      </c>
      <c r="G24" s="334"/>
    </row>
    <row r="25" spans="1:8" x14ac:dyDescent="0.2">
      <c r="D25" s="331"/>
      <c r="G25" s="334"/>
    </row>
  </sheetData>
  <pageMargins left="0.7" right="0.7" top="0.75" bottom="0.75" header="0.3" footer="0.3"/>
  <pageSetup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80" zoomScaleNormal="100" zoomScaleSheetLayoutView="80" workbookViewId="0">
      <pane xSplit="1" ySplit="4" topLeftCell="B8" activePane="bottomRight" state="frozen"/>
      <selection activeCell="B27" sqref="B27"/>
      <selection pane="topRight" activeCell="B27" sqref="B27"/>
      <selection pane="bottomLeft" activeCell="B27" sqref="B27"/>
      <selection pane="bottomRight" activeCell="B41" sqref="B41"/>
    </sheetView>
  </sheetViews>
  <sheetFormatPr defaultRowHeight="12.75" x14ac:dyDescent="0.2"/>
  <cols>
    <col min="1" max="1" width="47" bestFit="1" customWidth="1"/>
    <col min="2" max="2" width="9" style="316" bestFit="1" customWidth="1"/>
    <col min="3" max="7" width="9.140625" style="317" bestFit="1" customWidth="1"/>
    <col min="8" max="8" width="3.140625" customWidth="1"/>
    <col min="9" max="9" width="39.140625" customWidth="1"/>
    <col min="11" max="13" width="10" bestFit="1" customWidth="1"/>
  </cols>
  <sheetData>
    <row r="1" spans="1:15" ht="15" x14ac:dyDescent="0.25">
      <c r="A1" s="313" t="s">
        <v>269</v>
      </c>
      <c r="B1" s="314"/>
      <c r="C1" s="315"/>
      <c r="D1" s="315"/>
      <c r="E1" s="315"/>
      <c r="F1" s="315"/>
      <c r="G1" s="315"/>
    </row>
    <row r="2" spans="1:15" ht="15" x14ac:dyDescent="0.25">
      <c r="A2" s="313" t="s">
        <v>303</v>
      </c>
      <c r="C2" s="315"/>
      <c r="E2" s="315"/>
      <c r="F2" s="315"/>
      <c r="G2" s="315"/>
    </row>
    <row r="3" spans="1:15" ht="15" x14ac:dyDescent="0.25">
      <c r="A3" s="313" t="s">
        <v>358</v>
      </c>
      <c r="C3" s="315"/>
      <c r="D3" s="314" t="s">
        <v>304</v>
      </c>
      <c r="E3" s="315"/>
      <c r="F3" s="315"/>
      <c r="G3" s="315"/>
    </row>
    <row r="4" spans="1:15" s="313" customFormat="1" ht="15" x14ac:dyDescent="0.25">
      <c r="B4" s="318" t="s">
        <v>305</v>
      </c>
      <c r="C4" s="319" t="s">
        <v>306</v>
      </c>
      <c r="D4" s="319" t="s">
        <v>307</v>
      </c>
      <c r="E4" s="319" t="s">
        <v>308</v>
      </c>
      <c r="F4" s="319" t="s">
        <v>309</v>
      </c>
      <c r="G4" s="319" t="s">
        <v>310</v>
      </c>
      <c r="I4" s="313" t="s">
        <v>251</v>
      </c>
      <c r="K4"/>
      <c r="L4"/>
      <c r="M4"/>
      <c r="N4"/>
      <c r="O4"/>
    </row>
    <row r="5" spans="1:15" x14ac:dyDescent="0.2">
      <c r="A5" t="s">
        <v>311</v>
      </c>
      <c r="B5" s="320">
        <v>0.2</v>
      </c>
      <c r="C5" s="321">
        <v>1</v>
      </c>
      <c r="D5" s="321">
        <v>1</v>
      </c>
      <c r="E5" s="321">
        <f>D5</f>
        <v>1</v>
      </c>
      <c r="F5" s="321">
        <f t="shared" ref="F5:G5" si="0">E5</f>
        <v>1</v>
      </c>
      <c r="G5" s="321">
        <f t="shared" si="0"/>
        <v>1</v>
      </c>
    </row>
    <row r="6" spans="1:15" x14ac:dyDescent="0.2">
      <c r="A6" t="s">
        <v>312</v>
      </c>
      <c r="B6" s="320">
        <v>0.2</v>
      </c>
      <c r="C6" s="321">
        <v>1</v>
      </c>
      <c r="D6" s="321">
        <v>1</v>
      </c>
      <c r="E6" s="321">
        <f t="shared" ref="E6:G8" si="1">D6</f>
        <v>1</v>
      </c>
      <c r="F6" s="321">
        <f t="shared" si="1"/>
        <v>1</v>
      </c>
      <c r="G6" s="321">
        <f t="shared" si="1"/>
        <v>1</v>
      </c>
    </row>
    <row r="7" spans="1:15" x14ac:dyDescent="0.2">
      <c r="A7" t="s">
        <v>313</v>
      </c>
      <c r="B7" s="320">
        <v>0.1</v>
      </c>
      <c r="C7" s="321">
        <v>1</v>
      </c>
      <c r="D7" s="321">
        <v>1</v>
      </c>
      <c r="E7" s="321">
        <f t="shared" si="1"/>
        <v>1</v>
      </c>
      <c r="F7" s="321">
        <f t="shared" si="1"/>
        <v>1</v>
      </c>
      <c r="G7" s="321">
        <f t="shared" si="1"/>
        <v>1</v>
      </c>
    </row>
    <row r="8" spans="1:15" x14ac:dyDescent="0.2">
      <c r="A8" t="s">
        <v>314</v>
      </c>
      <c r="B8" s="320"/>
      <c r="C8" s="321"/>
      <c r="D8" s="321">
        <v>1</v>
      </c>
      <c r="E8" s="321">
        <f t="shared" si="1"/>
        <v>1</v>
      </c>
      <c r="F8" s="321">
        <f t="shared" si="1"/>
        <v>1</v>
      </c>
      <c r="G8" s="321">
        <f t="shared" si="1"/>
        <v>1</v>
      </c>
    </row>
    <row r="9" spans="1:15" x14ac:dyDescent="0.2">
      <c r="A9" t="s">
        <v>315</v>
      </c>
      <c r="B9" s="320">
        <v>0</v>
      </c>
      <c r="C9" s="321">
        <v>0.5</v>
      </c>
      <c r="D9" s="321">
        <v>1</v>
      </c>
      <c r="E9" s="321">
        <f t="shared" ref="E9:G9" si="2">D9</f>
        <v>1</v>
      </c>
      <c r="F9" s="321">
        <f t="shared" si="2"/>
        <v>1</v>
      </c>
      <c r="G9" s="321">
        <f t="shared" si="2"/>
        <v>1</v>
      </c>
    </row>
    <row r="10" spans="1:15" s="313" customFormat="1" ht="15" x14ac:dyDescent="0.25">
      <c r="A10" s="322" t="s">
        <v>316</v>
      </c>
      <c r="B10" s="323">
        <f t="shared" ref="B10:G10" si="3">SUM(B5:B9)</f>
        <v>0.5</v>
      </c>
      <c r="C10" s="324">
        <f t="shared" si="3"/>
        <v>3.5</v>
      </c>
      <c r="D10" s="324">
        <f t="shared" si="3"/>
        <v>5</v>
      </c>
      <c r="E10" s="324">
        <f t="shared" si="3"/>
        <v>5</v>
      </c>
      <c r="F10" s="324">
        <f t="shared" si="3"/>
        <v>5</v>
      </c>
      <c r="G10" s="324">
        <f t="shared" si="3"/>
        <v>5</v>
      </c>
      <c r="K10"/>
      <c r="L10"/>
      <c r="M10"/>
      <c r="N10"/>
      <c r="O10"/>
    </row>
    <row r="11" spans="1:15" x14ac:dyDescent="0.2">
      <c r="A11" s="325"/>
      <c r="B11" s="320"/>
      <c r="C11" s="321"/>
      <c r="D11" s="321"/>
      <c r="E11" s="321"/>
      <c r="F11" s="321"/>
      <c r="G11" s="321"/>
    </row>
    <row r="12" spans="1:15" ht="15" x14ac:dyDescent="0.25">
      <c r="A12" s="326" t="s">
        <v>317</v>
      </c>
      <c r="B12" s="320">
        <f>2/12</f>
        <v>0.16666666666666666</v>
      </c>
      <c r="C12" s="321">
        <v>1</v>
      </c>
      <c r="D12" s="321">
        <v>1</v>
      </c>
      <c r="E12" s="321">
        <f t="shared" ref="E12:G14" si="4">D12</f>
        <v>1</v>
      </c>
      <c r="F12" s="321">
        <f t="shared" si="4"/>
        <v>1</v>
      </c>
      <c r="G12" s="321">
        <f t="shared" si="4"/>
        <v>1</v>
      </c>
    </row>
    <row r="13" spans="1:15" ht="15" x14ac:dyDescent="0.25">
      <c r="A13" s="326" t="s">
        <v>318</v>
      </c>
      <c r="B13" s="320"/>
      <c r="C13" s="321">
        <v>1</v>
      </c>
      <c r="D13" s="321">
        <f>C13</f>
        <v>1</v>
      </c>
      <c r="E13" s="321">
        <f t="shared" si="4"/>
        <v>1</v>
      </c>
      <c r="F13" s="321">
        <f t="shared" si="4"/>
        <v>1</v>
      </c>
      <c r="G13" s="321">
        <f t="shared" si="4"/>
        <v>1</v>
      </c>
    </row>
    <row r="14" spans="1:15" ht="15" x14ac:dyDescent="0.25">
      <c r="A14" s="326" t="s">
        <v>319</v>
      </c>
      <c r="B14" s="320"/>
      <c r="C14" s="321"/>
      <c r="D14" s="321">
        <v>1</v>
      </c>
      <c r="E14" s="321">
        <v>2.5</v>
      </c>
      <c r="F14" s="321">
        <v>3</v>
      </c>
      <c r="G14" s="321">
        <f t="shared" si="4"/>
        <v>3</v>
      </c>
    </row>
    <row r="15" spans="1:15" ht="15" x14ac:dyDescent="0.25">
      <c r="A15" s="322" t="s">
        <v>316</v>
      </c>
      <c r="B15" s="323">
        <f>SUM(B12:B14)</f>
        <v>0.16666666666666666</v>
      </c>
      <c r="C15" s="324">
        <f>SUM(C12:C14)</f>
        <v>2</v>
      </c>
      <c r="D15" s="324">
        <f t="shared" ref="D15:G15" si="5">SUM(D12:D14)</f>
        <v>3</v>
      </c>
      <c r="E15" s="324">
        <f t="shared" si="5"/>
        <v>4.5</v>
      </c>
      <c r="F15" s="324">
        <f t="shared" si="5"/>
        <v>5</v>
      </c>
      <c r="G15" s="324">
        <f t="shared" si="5"/>
        <v>5</v>
      </c>
    </row>
    <row r="16" spans="1:15" ht="15" x14ac:dyDescent="0.25">
      <c r="A16" s="326"/>
      <c r="B16" s="320"/>
      <c r="C16" s="321"/>
      <c r="D16" s="321"/>
      <c r="E16" s="321"/>
      <c r="F16" s="321"/>
      <c r="G16" s="321"/>
    </row>
    <row r="17" spans="1:9" ht="15" x14ac:dyDescent="0.25">
      <c r="A17" s="326" t="s">
        <v>275</v>
      </c>
      <c r="B17" s="320"/>
      <c r="C17" s="321">
        <v>0.5</v>
      </c>
      <c r="D17" s="321">
        <v>1</v>
      </c>
      <c r="E17" s="321">
        <f t="shared" ref="E17:G19" si="6">D17</f>
        <v>1</v>
      </c>
      <c r="F17" s="321">
        <f t="shared" si="6"/>
        <v>1</v>
      </c>
      <c r="G17" s="321">
        <f t="shared" si="6"/>
        <v>1</v>
      </c>
    </row>
    <row r="18" spans="1:9" ht="15" x14ac:dyDescent="0.25">
      <c r="A18" s="326" t="s">
        <v>333</v>
      </c>
      <c r="B18" s="320"/>
      <c r="C18" s="321">
        <v>1</v>
      </c>
      <c r="D18" s="321">
        <f>C18</f>
        <v>1</v>
      </c>
      <c r="E18" s="321">
        <f t="shared" si="6"/>
        <v>1</v>
      </c>
      <c r="F18" s="321">
        <f t="shared" si="6"/>
        <v>1</v>
      </c>
      <c r="G18" s="321">
        <f t="shared" si="6"/>
        <v>1</v>
      </c>
    </row>
    <row r="19" spans="1:9" ht="15" x14ac:dyDescent="0.25">
      <c r="A19" s="326" t="s">
        <v>320</v>
      </c>
      <c r="B19" s="320"/>
      <c r="C19" s="321">
        <v>0.5</v>
      </c>
      <c r="D19" s="321">
        <v>1</v>
      </c>
      <c r="E19" s="321">
        <v>1</v>
      </c>
      <c r="F19" s="321">
        <f t="shared" si="6"/>
        <v>1</v>
      </c>
      <c r="G19" s="321">
        <f t="shared" si="6"/>
        <v>1</v>
      </c>
    </row>
    <row r="20" spans="1:9" ht="15" x14ac:dyDescent="0.25">
      <c r="A20" s="326" t="s">
        <v>273</v>
      </c>
      <c r="B20" s="320"/>
      <c r="C20" s="321">
        <v>1</v>
      </c>
      <c r="D20" s="321">
        <v>1.5</v>
      </c>
      <c r="E20" s="321">
        <v>2</v>
      </c>
      <c r="F20" s="321">
        <f t="shared" ref="E20:G24" si="7">E20</f>
        <v>2</v>
      </c>
      <c r="G20" s="321">
        <f t="shared" si="7"/>
        <v>2</v>
      </c>
    </row>
    <row r="21" spans="1:9" ht="15" x14ac:dyDescent="0.25">
      <c r="A21" s="326" t="s">
        <v>321</v>
      </c>
      <c r="B21" s="320">
        <v>0.2</v>
      </c>
      <c r="C21" s="321">
        <v>1</v>
      </c>
      <c r="D21" s="321">
        <f>C21</f>
        <v>1</v>
      </c>
      <c r="E21" s="321">
        <f t="shared" si="7"/>
        <v>1</v>
      </c>
      <c r="F21" s="321">
        <f t="shared" si="7"/>
        <v>1</v>
      </c>
      <c r="G21" s="321">
        <f t="shared" si="7"/>
        <v>1</v>
      </c>
      <c r="I21" t="s">
        <v>322</v>
      </c>
    </row>
    <row r="22" spans="1:9" ht="15" x14ac:dyDescent="0.25">
      <c r="A22" s="326" t="s">
        <v>323</v>
      </c>
      <c r="B22" s="320">
        <v>0.2</v>
      </c>
      <c r="C22" s="321">
        <v>1</v>
      </c>
      <c r="D22" s="321">
        <f t="shared" ref="D22" si="8">C22</f>
        <v>1</v>
      </c>
      <c r="E22" s="321">
        <f t="shared" si="7"/>
        <v>1</v>
      </c>
      <c r="F22" s="321">
        <f t="shared" si="7"/>
        <v>1</v>
      </c>
      <c r="G22" s="321">
        <f t="shared" si="7"/>
        <v>1</v>
      </c>
      <c r="I22" t="s">
        <v>324</v>
      </c>
    </row>
    <row r="23" spans="1:9" ht="15" x14ac:dyDescent="0.25">
      <c r="A23" s="326" t="s">
        <v>325</v>
      </c>
      <c r="B23" s="320"/>
      <c r="C23" s="321"/>
      <c r="D23" s="321">
        <v>1</v>
      </c>
      <c r="E23" s="321">
        <f t="shared" si="7"/>
        <v>1</v>
      </c>
      <c r="F23" s="321">
        <f t="shared" si="7"/>
        <v>1</v>
      </c>
      <c r="G23" s="321">
        <f t="shared" si="7"/>
        <v>1</v>
      </c>
      <c r="I23" t="s">
        <v>326</v>
      </c>
    </row>
    <row r="24" spans="1:9" ht="15" x14ac:dyDescent="0.25">
      <c r="A24" s="326" t="s">
        <v>327</v>
      </c>
      <c r="B24" s="320"/>
      <c r="C24" s="321"/>
      <c r="D24" s="321"/>
      <c r="E24" s="321">
        <v>1</v>
      </c>
      <c r="F24" s="321">
        <v>2</v>
      </c>
      <c r="G24" s="321">
        <f t="shared" si="7"/>
        <v>2</v>
      </c>
      <c r="I24" t="s">
        <v>326</v>
      </c>
    </row>
    <row r="25" spans="1:9" ht="15" x14ac:dyDescent="0.25">
      <c r="A25" s="326" t="s">
        <v>328</v>
      </c>
      <c r="B25" s="320"/>
      <c r="C25" s="321">
        <v>16</v>
      </c>
      <c r="D25" s="321">
        <v>18</v>
      </c>
      <c r="E25" s="321">
        <f>D25</f>
        <v>18</v>
      </c>
      <c r="F25" s="321">
        <f t="shared" ref="F25:G25" si="9">E25</f>
        <v>18</v>
      </c>
      <c r="G25" s="321">
        <f t="shared" si="9"/>
        <v>18</v>
      </c>
      <c r="I25" t="s">
        <v>329</v>
      </c>
    </row>
    <row r="26" spans="1:9" ht="15" x14ac:dyDescent="0.25">
      <c r="A26" s="326" t="s">
        <v>437</v>
      </c>
      <c r="B26" s="320"/>
      <c r="C26" s="321">
        <v>2</v>
      </c>
      <c r="D26" s="321">
        <f>C26</f>
        <v>2</v>
      </c>
      <c r="E26" s="321">
        <v>4</v>
      </c>
      <c r="F26" s="321">
        <v>5</v>
      </c>
      <c r="G26" s="321">
        <v>8</v>
      </c>
      <c r="I26" t="s">
        <v>329</v>
      </c>
    </row>
    <row r="27" spans="1:9" ht="15" x14ac:dyDescent="0.25">
      <c r="A27" s="326" t="s">
        <v>274</v>
      </c>
      <c r="B27" s="320"/>
      <c r="C27" s="321">
        <v>1</v>
      </c>
      <c r="D27" s="321">
        <v>2</v>
      </c>
      <c r="E27" s="321">
        <f t="shared" ref="E27:G27" si="10">D27</f>
        <v>2</v>
      </c>
      <c r="F27" s="321">
        <f t="shared" si="10"/>
        <v>2</v>
      </c>
      <c r="G27" s="321">
        <f t="shared" si="10"/>
        <v>2</v>
      </c>
      <c r="I27" t="s">
        <v>330</v>
      </c>
    </row>
    <row r="28" spans="1:9" ht="15" x14ac:dyDescent="0.25">
      <c r="A28" s="326"/>
      <c r="B28" s="320"/>
      <c r="C28" s="321"/>
      <c r="D28" s="321"/>
      <c r="E28" s="321"/>
      <c r="F28" s="321"/>
      <c r="G28" s="321"/>
    </row>
    <row r="29" spans="1:9" s="313" customFormat="1" ht="15" x14ac:dyDescent="0.25">
      <c r="A29" s="322" t="s">
        <v>331</v>
      </c>
      <c r="B29" s="323">
        <f t="shared" ref="B29:G29" si="11">SUM(B10:B28)-B15</f>
        <v>1.0666666666666664</v>
      </c>
      <c r="C29" s="324">
        <f t="shared" si="11"/>
        <v>29.5</v>
      </c>
      <c r="D29" s="324">
        <f t="shared" si="11"/>
        <v>37.5</v>
      </c>
      <c r="E29" s="324">
        <f t="shared" si="11"/>
        <v>42.5</v>
      </c>
      <c r="F29" s="324">
        <f t="shared" si="11"/>
        <v>45</v>
      </c>
      <c r="G29" s="324">
        <f t="shared" si="11"/>
        <v>48</v>
      </c>
    </row>
    <row r="30" spans="1:9" x14ac:dyDescent="0.2">
      <c r="B30" s="320"/>
      <c r="C30" s="321"/>
      <c r="D30" s="321"/>
      <c r="E30" s="321"/>
      <c r="F30" s="321"/>
      <c r="G30" s="321"/>
    </row>
    <row r="31" spans="1:9" x14ac:dyDescent="0.2">
      <c r="B31" s="320"/>
      <c r="C31" s="321"/>
      <c r="D31" s="321"/>
      <c r="E31" s="321"/>
      <c r="F31" s="321"/>
      <c r="G31" s="321"/>
    </row>
    <row r="32" spans="1:9" x14ac:dyDescent="0.2">
      <c r="B32" s="320"/>
      <c r="C32" s="321"/>
      <c r="D32" s="321"/>
      <c r="E32" s="321"/>
      <c r="F32" s="321"/>
      <c r="G32" s="321"/>
    </row>
    <row r="33" spans="2:7" x14ac:dyDescent="0.2">
      <c r="B33" s="320"/>
      <c r="C33" s="321"/>
      <c r="D33" s="321"/>
      <c r="E33" s="321"/>
      <c r="F33" s="321"/>
      <c r="G33" s="321"/>
    </row>
    <row r="34" spans="2:7" x14ac:dyDescent="0.2">
      <c r="B34" s="320"/>
      <c r="C34" s="321"/>
      <c r="D34" s="321"/>
      <c r="E34" s="321"/>
      <c r="F34" s="321"/>
      <c r="G34" s="321"/>
    </row>
    <row r="35" spans="2:7" x14ac:dyDescent="0.2">
      <c r="B35" s="320"/>
      <c r="C35" s="321"/>
      <c r="D35" s="321"/>
      <c r="E35" s="321"/>
      <c r="F35" s="321"/>
      <c r="G35" s="321"/>
    </row>
  </sheetData>
  <pageMargins left="0.7" right="0.7" top="0.75" bottom="0.75" header="0.3" footer="0.3"/>
  <pageSetup scale="86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="70" zoomScaleNormal="100" zoomScaleSheetLayoutView="70" workbookViewId="0">
      <pane xSplit="3" ySplit="4" topLeftCell="D5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18.28515625" defaultRowHeight="12.75" x14ac:dyDescent="0.2"/>
  <cols>
    <col min="1" max="1" width="5.85546875" customWidth="1"/>
    <col min="2" max="2" width="6.42578125" customWidth="1"/>
    <col min="3" max="3" width="37.5703125" customWidth="1"/>
    <col min="4" max="4" width="34.42578125" customWidth="1"/>
    <col min="5" max="5" width="18.7109375" style="357" bestFit="1" customWidth="1"/>
    <col min="6" max="6" width="8.7109375" style="332" bestFit="1" customWidth="1"/>
    <col min="7" max="7" width="8.5703125" style="332" bestFit="1" customWidth="1"/>
    <col min="8" max="9" width="8.28515625" style="358" bestFit="1" customWidth="1"/>
    <col min="10" max="10" width="11.5703125" style="359" customWidth="1"/>
    <col min="11" max="11" width="7.5703125" style="359" customWidth="1"/>
  </cols>
  <sheetData>
    <row r="1" spans="1:11" ht="15" x14ac:dyDescent="0.25">
      <c r="A1" s="313" t="s">
        <v>269</v>
      </c>
      <c r="B1" s="314"/>
      <c r="C1" s="315"/>
      <c r="D1" s="315"/>
      <c r="E1" s="315"/>
      <c r="F1" s="315"/>
      <c r="G1" s="315"/>
      <c r="H1"/>
      <c r="I1"/>
      <c r="J1"/>
      <c r="K1"/>
    </row>
    <row r="2" spans="1:11" ht="15" x14ac:dyDescent="0.25">
      <c r="A2" s="313" t="s">
        <v>425</v>
      </c>
      <c r="B2" s="316"/>
      <c r="C2" s="315"/>
      <c r="D2" s="317"/>
      <c r="E2" s="315"/>
      <c r="F2" s="315"/>
      <c r="G2" s="315"/>
      <c r="H2"/>
      <c r="I2"/>
      <c r="J2"/>
      <c r="K2"/>
    </row>
    <row r="3" spans="1:11" ht="15" x14ac:dyDescent="0.25">
      <c r="A3" s="313" t="s">
        <v>424</v>
      </c>
      <c r="B3" s="316"/>
      <c r="C3" s="315"/>
      <c r="D3" s="314"/>
      <c r="E3" s="315"/>
      <c r="F3" s="315"/>
      <c r="G3" s="315"/>
      <c r="H3"/>
      <c r="I3"/>
      <c r="J3"/>
      <c r="K3"/>
    </row>
    <row r="4" spans="1:11" ht="60" x14ac:dyDescent="0.25">
      <c r="A4" s="360" t="s">
        <v>372</v>
      </c>
      <c r="B4" s="360"/>
      <c r="C4" s="360"/>
      <c r="D4" s="360" t="s">
        <v>373</v>
      </c>
      <c r="E4" s="361" t="s">
        <v>374</v>
      </c>
      <c r="F4" s="362" t="s">
        <v>336</v>
      </c>
      <c r="G4" s="362" t="s">
        <v>375</v>
      </c>
      <c r="H4" s="363" t="s">
        <v>376</v>
      </c>
      <c r="I4" s="363" t="s">
        <v>377</v>
      </c>
      <c r="J4" s="363" t="s">
        <v>378</v>
      </c>
      <c r="K4" s="363" t="s">
        <v>379</v>
      </c>
    </row>
    <row r="5" spans="1:11" x14ac:dyDescent="0.2">
      <c r="A5" t="s">
        <v>380</v>
      </c>
      <c r="E5"/>
    </row>
    <row r="6" spans="1:11" x14ac:dyDescent="0.2">
      <c r="B6" t="s">
        <v>381</v>
      </c>
      <c r="D6" t="s">
        <v>382</v>
      </c>
      <c r="E6" s="364" t="s">
        <v>80</v>
      </c>
      <c r="F6" s="332">
        <v>69</v>
      </c>
      <c r="G6" s="332">
        <v>3</v>
      </c>
      <c r="I6" s="358">
        <f>(2199.94+1898.74+183.94+99.94+34.94+91.94+260.94+298.94)/2*1.08</f>
        <v>2737.4327999999991</v>
      </c>
      <c r="J6" s="359">
        <f>F6*H6+G6*I6</f>
        <v>8212.2983999999979</v>
      </c>
    </row>
    <row r="7" spans="1:11" x14ac:dyDescent="0.2">
      <c r="B7" t="s">
        <v>381</v>
      </c>
      <c r="D7" t="s">
        <v>383</v>
      </c>
      <c r="E7" s="364" t="s">
        <v>384</v>
      </c>
      <c r="F7" s="332">
        <f>69+69+48+69+48</f>
        <v>303</v>
      </c>
      <c r="G7" s="332">
        <f>3+3+2+3+2</f>
        <v>13</v>
      </c>
      <c r="H7" s="358">
        <f>61.47*1.08</f>
        <v>66.387600000000006</v>
      </c>
      <c r="I7" s="358">
        <f>(3774.94+662.94+183.94+99.94+88.94+214.94+91.94+260.94+298.98)/2*1.08</f>
        <v>3065.849999999999</v>
      </c>
      <c r="J7" s="359">
        <f>F7*H7+G7*I7</f>
        <v>59971.492799999993</v>
      </c>
    </row>
    <row r="8" spans="1:11" x14ac:dyDescent="0.2">
      <c r="B8" t="s">
        <v>385</v>
      </c>
      <c r="D8" t="s">
        <v>386</v>
      </c>
      <c r="E8" s="364" t="s">
        <v>387</v>
      </c>
      <c r="F8" s="332">
        <f>48*4</f>
        <v>192</v>
      </c>
      <c r="H8" s="358">
        <f>112.47*1.08</f>
        <v>121.4676</v>
      </c>
      <c r="J8" s="359">
        <f t="shared" ref="J8" si="0">F8*H8+G8*I8</f>
        <v>23321.779200000001</v>
      </c>
    </row>
    <row r="9" spans="1:11" x14ac:dyDescent="0.2">
      <c r="E9" s="364"/>
      <c r="F9" s="365">
        <f>SUM(F6:F8)</f>
        <v>564</v>
      </c>
      <c r="J9" s="366">
        <f>SUM(J6:J8)</f>
        <v>91505.570399999997</v>
      </c>
      <c r="K9" s="359">
        <f>J9/F9</f>
        <v>162.24391914893616</v>
      </c>
    </row>
    <row r="10" spans="1:11" x14ac:dyDescent="0.2">
      <c r="A10" t="s">
        <v>388</v>
      </c>
      <c r="E10"/>
    </row>
    <row r="11" spans="1:11" x14ac:dyDescent="0.2">
      <c r="B11" t="s">
        <v>389</v>
      </c>
      <c r="D11" t="s">
        <v>390</v>
      </c>
      <c r="E11" s="364" t="s">
        <v>391</v>
      </c>
      <c r="F11" s="332">
        <v>372</v>
      </c>
      <c r="G11" s="332">
        <v>16</v>
      </c>
      <c r="H11" s="358">
        <f>23.97*1.08*3</f>
        <v>77.662800000000004</v>
      </c>
      <c r="I11" s="358">
        <f>291.97*1.08</f>
        <v>315.32760000000007</v>
      </c>
      <c r="J11" s="359">
        <f t="shared" ref="J11:J13" si="1">F11*H11+G11*I11</f>
        <v>33935.803200000002</v>
      </c>
    </row>
    <row r="12" spans="1:11" x14ac:dyDescent="0.2">
      <c r="B12" t="s">
        <v>389</v>
      </c>
      <c r="D12" t="s">
        <v>390</v>
      </c>
      <c r="E12" s="364" t="s">
        <v>392</v>
      </c>
      <c r="F12" s="332">
        <f>48*3</f>
        <v>144</v>
      </c>
      <c r="H12" s="358">
        <f>23.97*1.08*4</f>
        <v>103.5504</v>
      </c>
      <c r="J12" s="359">
        <f t="shared" si="1"/>
        <v>14911.257599999999</v>
      </c>
    </row>
    <row r="13" spans="1:11" x14ac:dyDescent="0.2">
      <c r="B13" t="s">
        <v>389</v>
      </c>
      <c r="D13" t="s">
        <v>393</v>
      </c>
      <c r="E13" s="364" t="s">
        <v>394</v>
      </c>
      <c r="F13" s="332">
        <v>48</v>
      </c>
      <c r="H13" s="358">
        <f>118.97*1.08</f>
        <v>128.48760000000001</v>
      </c>
      <c r="J13" s="359">
        <f t="shared" si="1"/>
        <v>6167.4048000000003</v>
      </c>
    </row>
    <row r="14" spans="1:11" x14ac:dyDescent="0.2">
      <c r="E14" s="364"/>
      <c r="F14" s="365">
        <f>SUM(F11:F13)</f>
        <v>564</v>
      </c>
      <c r="J14" s="366">
        <f>SUM(J11:J13)</f>
        <v>55014.465599999996</v>
      </c>
      <c r="K14" s="359">
        <f>J14/F14</f>
        <v>97.543378723404246</v>
      </c>
    </row>
    <row r="15" spans="1:11" x14ac:dyDescent="0.2">
      <c r="A15" t="s">
        <v>395</v>
      </c>
      <c r="E15"/>
    </row>
    <row r="16" spans="1:11" x14ac:dyDescent="0.2">
      <c r="B16" t="s">
        <v>396</v>
      </c>
      <c r="D16" t="s">
        <v>397</v>
      </c>
      <c r="E16" s="364" t="s">
        <v>391</v>
      </c>
      <c r="F16" s="332">
        <v>372</v>
      </c>
      <c r="G16" s="332">
        <v>16</v>
      </c>
      <c r="H16" s="358">
        <f>53.97*1.08</f>
        <v>58.287600000000005</v>
      </c>
      <c r="I16" s="358">
        <f>705.94/2</f>
        <v>352.97</v>
      </c>
      <c r="J16" s="359">
        <f t="shared" ref="J16:J25" si="2">F16*H16+G16*I16</f>
        <v>27330.507200000004</v>
      </c>
    </row>
    <row r="17" spans="1:11" x14ac:dyDescent="0.2">
      <c r="B17" t="s">
        <v>396</v>
      </c>
      <c r="D17" t="s">
        <v>397</v>
      </c>
      <c r="E17" s="364" t="s">
        <v>392</v>
      </c>
      <c r="F17" s="332">
        <f>48*3</f>
        <v>144</v>
      </c>
      <c r="G17" s="332">
        <v>9</v>
      </c>
      <c r="H17" s="358">
        <f>87.97*1.08</f>
        <v>95.007600000000011</v>
      </c>
      <c r="J17" s="359">
        <f t="shared" si="2"/>
        <v>13681.094400000002</v>
      </c>
    </row>
    <row r="18" spans="1:11" x14ac:dyDescent="0.2">
      <c r="B18" t="s">
        <v>398</v>
      </c>
      <c r="D18" t="s">
        <v>397</v>
      </c>
      <c r="E18" s="364" t="s">
        <v>399</v>
      </c>
      <c r="F18" s="332">
        <v>48</v>
      </c>
      <c r="G18" s="332">
        <v>3</v>
      </c>
      <c r="H18" s="358">
        <f>96.47*1.08</f>
        <v>104.1876</v>
      </c>
      <c r="J18" s="359">
        <f t="shared" si="2"/>
        <v>5001.0048000000006</v>
      </c>
    </row>
    <row r="19" spans="1:11" x14ac:dyDescent="0.2">
      <c r="E19" s="364"/>
      <c r="F19" s="365">
        <f>SUM(F16:F18)</f>
        <v>564</v>
      </c>
      <c r="J19" s="366">
        <f>SUM(J16:J18)</f>
        <v>46012.606400000011</v>
      </c>
      <c r="K19" s="359">
        <f>J19/F19</f>
        <v>81.582635460992933</v>
      </c>
    </row>
    <row r="20" spans="1:11" x14ac:dyDescent="0.2">
      <c r="A20" t="s">
        <v>400</v>
      </c>
      <c r="E20"/>
    </row>
    <row r="21" spans="1:11" x14ac:dyDescent="0.2">
      <c r="B21" t="s">
        <v>401</v>
      </c>
      <c r="D21" t="s">
        <v>402</v>
      </c>
      <c r="E21" s="364" t="s">
        <v>403</v>
      </c>
      <c r="F21" s="332">
        <f>69+69</f>
        <v>138</v>
      </c>
      <c r="H21" s="358">
        <f>(53.47+44.47)*1.08/2</f>
        <v>52.887599999999999</v>
      </c>
      <c r="J21" s="359">
        <f t="shared" si="2"/>
        <v>7298.4888000000001</v>
      </c>
    </row>
    <row r="22" spans="1:11" x14ac:dyDescent="0.2">
      <c r="B22" t="s">
        <v>401</v>
      </c>
      <c r="D22" t="s">
        <v>402</v>
      </c>
      <c r="E22" s="364" t="s">
        <v>404</v>
      </c>
      <c r="F22" s="332">
        <v>234</v>
      </c>
      <c r="H22" s="358">
        <f>(51.97+51.97+80.97+72.97)*1.08/4</f>
        <v>69.627600000000001</v>
      </c>
      <c r="J22" s="359">
        <f t="shared" si="2"/>
        <v>16292.858400000001</v>
      </c>
    </row>
    <row r="23" spans="1:11" x14ac:dyDescent="0.2">
      <c r="B23" t="s">
        <v>401</v>
      </c>
      <c r="D23" t="s">
        <v>402</v>
      </c>
      <c r="E23" s="364" t="s">
        <v>405</v>
      </c>
      <c r="F23" s="332">
        <v>96</v>
      </c>
      <c r="H23" s="358">
        <f>(68.97+75.97)*1.08/2</f>
        <v>78.267600000000002</v>
      </c>
      <c r="J23" s="359">
        <f t="shared" si="2"/>
        <v>7513.6895999999997</v>
      </c>
    </row>
    <row r="24" spans="1:11" x14ac:dyDescent="0.2">
      <c r="B24" t="s">
        <v>406</v>
      </c>
      <c r="D24" t="s">
        <v>390</v>
      </c>
      <c r="E24" s="364">
        <v>8</v>
      </c>
      <c r="F24" s="332">
        <v>48</v>
      </c>
      <c r="H24" s="358">
        <f>89.47*1.08</f>
        <v>96.627600000000001</v>
      </c>
      <c r="J24" s="359">
        <f t="shared" si="2"/>
        <v>4638.1247999999996</v>
      </c>
    </row>
    <row r="25" spans="1:11" x14ac:dyDescent="0.2">
      <c r="B25" t="s">
        <v>407</v>
      </c>
      <c r="D25" t="s">
        <v>390</v>
      </c>
      <c r="E25" s="364" t="s">
        <v>408</v>
      </c>
      <c r="F25" s="332">
        <v>48</v>
      </c>
      <c r="H25" s="358">
        <f>90.97*1.08*2</f>
        <v>196.49520000000001</v>
      </c>
      <c r="J25" s="359">
        <f t="shared" si="2"/>
        <v>9431.7695999999996</v>
      </c>
    </row>
    <row r="26" spans="1:11" x14ac:dyDescent="0.2">
      <c r="E26" s="364"/>
      <c r="F26" s="365">
        <f>SUM(F21:F25)</f>
        <v>564</v>
      </c>
      <c r="J26" s="366">
        <f>SUM(J21:J25)</f>
        <v>45174.931199999999</v>
      </c>
      <c r="K26" s="359">
        <f>J26/F26</f>
        <v>80.097395744680853</v>
      </c>
    </row>
    <row r="27" spans="1:11" x14ac:dyDescent="0.2">
      <c r="A27" t="s">
        <v>409</v>
      </c>
      <c r="E27"/>
    </row>
    <row r="28" spans="1:11" x14ac:dyDescent="0.2">
      <c r="B28" t="s">
        <v>410</v>
      </c>
      <c r="D28" t="s">
        <v>411</v>
      </c>
      <c r="E28" s="364" t="s">
        <v>412</v>
      </c>
      <c r="F28" s="365">
        <v>25</v>
      </c>
      <c r="G28" s="332">
        <v>10</v>
      </c>
      <c r="H28" s="358">
        <f>40.397*1.08</f>
        <v>43.62876</v>
      </c>
      <c r="I28" s="358">
        <f>1333.97*1.08</f>
        <v>1440.6876000000002</v>
      </c>
      <c r="J28" s="359">
        <f t="shared" ref="J28:J29" si="3">F28*H28+G28*I28</f>
        <v>15497.595000000001</v>
      </c>
    </row>
    <row r="29" spans="1:11" x14ac:dyDescent="0.2">
      <c r="B29" t="s">
        <v>413</v>
      </c>
      <c r="D29" t="s">
        <v>414</v>
      </c>
      <c r="E29" s="364" t="s">
        <v>412</v>
      </c>
      <c r="F29" s="365">
        <v>25</v>
      </c>
      <c r="G29" s="332">
        <v>10</v>
      </c>
      <c r="H29" s="358">
        <f>40.397*1.08</f>
        <v>43.62876</v>
      </c>
      <c r="I29" s="358">
        <f>1333.97*1.08</f>
        <v>1440.6876000000002</v>
      </c>
      <c r="J29" s="359">
        <f t="shared" si="3"/>
        <v>15497.595000000001</v>
      </c>
    </row>
    <row r="30" spans="1:11" x14ac:dyDescent="0.2">
      <c r="B30" t="s">
        <v>415</v>
      </c>
      <c r="D30" t="s">
        <v>402</v>
      </c>
      <c r="E30" s="364" t="s">
        <v>416</v>
      </c>
      <c r="F30" s="365">
        <v>192</v>
      </c>
      <c r="H30" s="358">
        <f>90.97*1.08</f>
        <v>98.247600000000006</v>
      </c>
      <c r="J30" s="359">
        <f>H30*F30</f>
        <v>18863.539199999999</v>
      </c>
    </row>
    <row r="31" spans="1:11" x14ac:dyDescent="0.2">
      <c r="B31" t="s">
        <v>417</v>
      </c>
      <c r="D31" s="367" t="s">
        <v>418</v>
      </c>
      <c r="E31" s="364" t="s">
        <v>408</v>
      </c>
      <c r="F31" s="365">
        <v>48</v>
      </c>
      <c r="H31" s="358">
        <f>87.97*1.08</f>
        <v>95.007600000000011</v>
      </c>
      <c r="J31" s="359">
        <f>H31*F31</f>
        <v>4560.3648000000003</v>
      </c>
    </row>
    <row r="32" spans="1:11" x14ac:dyDescent="0.2">
      <c r="B32" t="s">
        <v>419</v>
      </c>
      <c r="D32" s="367" t="s">
        <v>420</v>
      </c>
      <c r="E32" s="364" t="s">
        <v>387</v>
      </c>
      <c r="F32" s="365">
        <v>192</v>
      </c>
      <c r="G32" s="332">
        <v>4</v>
      </c>
      <c r="H32" s="358">
        <v>50</v>
      </c>
      <c r="I32" s="358">
        <v>120</v>
      </c>
      <c r="J32" s="359">
        <f>H32*F32</f>
        <v>9600</v>
      </c>
    </row>
    <row r="33" spans="2:11" x14ac:dyDescent="0.2">
      <c r="B33" t="s">
        <v>421</v>
      </c>
      <c r="D33" s="367" t="s">
        <v>422</v>
      </c>
      <c r="E33" s="364" t="s">
        <v>423</v>
      </c>
      <c r="J33" s="359">
        <v>50000</v>
      </c>
    </row>
    <row r="34" spans="2:11" x14ac:dyDescent="0.2">
      <c r="E34" s="364"/>
    </row>
    <row r="35" spans="2:11" x14ac:dyDescent="0.2">
      <c r="E35" s="364" t="s">
        <v>331</v>
      </c>
      <c r="F35" s="365">
        <v>564</v>
      </c>
      <c r="J35" s="370">
        <f>SUM(J27:J34)+J26+J19+J14+J9</f>
        <v>351726.66760000004</v>
      </c>
      <c r="K35" s="366">
        <f>J35/F35</f>
        <v>623.62884326241146</v>
      </c>
    </row>
    <row r="36" spans="2:11" x14ac:dyDescent="0.2">
      <c r="E36" s="364"/>
      <c r="G36" s="367"/>
      <c r="I36" s="325" t="s">
        <v>427</v>
      </c>
      <c r="J36" s="369">
        <v>-300000</v>
      </c>
    </row>
    <row r="37" spans="2:11" x14ac:dyDescent="0.2">
      <c r="I37" s="325" t="s">
        <v>426</v>
      </c>
      <c r="J37" s="368">
        <f>SUM(J35:J36)</f>
        <v>51726.667600000044</v>
      </c>
    </row>
    <row r="39" spans="2:11" x14ac:dyDescent="0.2">
      <c r="E39" s="364"/>
    </row>
    <row r="40" spans="2:11" x14ac:dyDescent="0.2">
      <c r="E40" s="364"/>
    </row>
    <row r="41" spans="2:11" x14ac:dyDescent="0.2">
      <c r="E41" s="364"/>
    </row>
    <row r="42" spans="2:11" x14ac:dyDescent="0.2">
      <c r="E42" s="364"/>
    </row>
    <row r="43" spans="2:11" x14ac:dyDescent="0.2">
      <c r="E43" s="364"/>
    </row>
    <row r="44" spans="2:11" x14ac:dyDescent="0.2">
      <c r="E44" s="364"/>
    </row>
    <row r="45" spans="2:11" x14ac:dyDescent="0.2">
      <c r="E45" s="364"/>
    </row>
  </sheetData>
  <pageMargins left="0.7" right="0.7" top="0.75" bottom="0.75" header="0.3" footer="0.3"/>
  <pageSetup scale="80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E35"/>
  <sheetViews>
    <sheetView view="pageBreakPreview" zoomScale="60" zoomScaleNormal="100" workbookViewId="0">
      <selection activeCell="T44" sqref="T44:T45"/>
    </sheetView>
  </sheetViews>
  <sheetFormatPr defaultColWidth="11.42578125" defaultRowHeight="12.75" x14ac:dyDescent="0.2"/>
  <cols>
    <col min="1" max="1" width="52" style="179" customWidth="1"/>
    <col min="2" max="5" width="11.42578125" style="197" customWidth="1"/>
    <col min="6" max="16384" width="11.42578125" style="179"/>
  </cols>
  <sheetData>
    <row r="1" spans="1:5" x14ac:dyDescent="0.2">
      <c r="A1" s="7" t="s">
        <v>176</v>
      </c>
      <c r="B1" s="196" t="s">
        <v>46</v>
      </c>
      <c r="C1" s="196" t="s">
        <v>47</v>
      </c>
      <c r="D1" s="196" t="s">
        <v>48</v>
      </c>
    </row>
    <row r="2" spans="1:5" x14ac:dyDescent="0.2">
      <c r="A2" s="257" t="s">
        <v>177</v>
      </c>
    </row>
    <row r="4" spans="1:5" s="195" customFormat="1" x14ac:dyDescent="0.2">
      <c r="A4" s="195" t="s">
        <v>38</v>
      </c>
      <c r="B4" s="198">
        <f>B33</f>
        <v>0</v>
      </c>
      <c r="C4" s="198">
        <f>C33</f>
        <v>0</v>
      </c>
      <c r="D4" s="198">
        <f>D33</f>
        <v>0</v>
      </c>
      <c r="E4" s="198"/>
    </row>
    <row r="6" spans="1:5" x14ac:dyDescent="0.2">
      <c r="A6" s="257" t="s">
        <v>143</v>
      </c>
      <c r="B6" s="73">
        <v>0</v>
      </c>
      <c r="C6" s="73">
        <v>0</v>
      </c>
      <c r="D6" s="73">
        <v>0</v>
      </c>
    </row>
    <row r="7" spans="1:5" x14ac:dyDescent="0.2">
      <c r="A7" s="257" t="s">
        <v>144</v>
      </c>
      <c r="B7" s="73">
        <v>0</v>
      </c>
      <c r="C7" s="73">
        <v>0</v>
      </c>
      <c r="D7" s="73">
        <v>0</v>
      </c>
    </row>
    <row r="8" spans="1:5" x14ac:dyDescent="0.2">
      <c r="A8" s="257" t="s">
        <v>142</v>
      </c>
      <c r="B8" s="73">
        <v>0</v>
      </c>
      <c r="C8" s="73">
        <v>0</v>
      </c>
      <c r="D8" s="73">
        <v>0</v>
      </c>
    </row>
    <row r="9" spans="1:5" x14ac:dyDescent="0.2">
      <c r="A9" s="257" t="s">
        <v>145</v>
      </c>
      <c r="B9" s="73">
        <v>0</v>
      </c>
      <c r="C9" s="73">
        <v>0</v>
      </c>
      <c r="D9" s="73">
        <v>0</v>
      </c>
    </row>
    <row r="10" spans="1:5" x14ac:dyDescent="0.2">
      <c r="A10" s="257" t="s">
        <v>147</v>
      </c>
      <c r="B10" s="73">
        <v>0</v>
      </c>
      <c r="C10" s="73">
        <v>0</v>
      </c>
      <c r="D10" s="73">
        <v>0</v>
      </c>
    </row>
    <row r="11" spans="1:5" x14ac:dyDescent="0.2">
      <c r="A11" s="257" t="s">
        <v>159</v>
      </c>
      <c r="B11" s="73">
        <v>0</v>
      </c>
      <c r="C11" s="73">
        <v>0</v>
      </c>
      <c r="D11" s="73">
        <v>0</v>
      </c>
    </row>
    <row r="12" spans="1:5" x14ac:dyDescent="0.2">
      <c r="A12" s="257" t="s">
        <v>146</v>
      </c>
      <c r="B12" s="73">
        <v>0</v>
      </c>
      <c r="C12" s="73">
        <v>0</v>
      </c>
      <c r="D12" s="73">
        <v>0</v>
      </c>
    </row>
    <row r="13" spans="1:5" x14ac:dyDescent="0.2">
      <c r="A13" s="257" t="s">
        <v>149</v>
      </c>
      <c r="B13" s="73">
        <v>0</v>
      </c>
      <c r="C13" s="73">
        <v>0</v>
      </c>
      <c r="D13" s="73">
        <v>0</v>
      </c>
    </row>
    <row r="14" spans="1:5" x14ac:dyDescent="0.2">
      <c r="A14" s="257" t="s">
        <v>151</v>
      </c>
      <c r="B14" s="73">
        <v>0</v>
      </c>
      <c r="C14" s="73">
        <v>0</v>
      </c>
      <c r="D14" s="73">
        <v>0</v>
      </c>
    </row>
    <row r="15" spans="1:5" x14ac:dyDescent="0.2">
      <c r="A15" s="257" t="s">
        <v>158</v>
      </c>
      <c r="B15" s="73">
        <v>0</v>
      </c>
      <c r="C15" s="73">
        <v>0</v>
      </c>
      <c r="D15" s="73">
        <v>0</v>
      </c>
    </row>
    <row r="16" spans="1:5" x14ac:dyDescent="0.2">
      <c r="A16" s="257" t="s">
        <v>152</v>
      </c>
      <c r="B16" s="73">
        <v>0</v>
      </c>
      <c r="C16" s="73">
        <v>0</v>
      </c>
      <c r="D16" s="73">
        <v>0</v>
      </c>
    </row>
    <row r="17" spans="1:4" x14ac:dyDescent="0.2">
      <c r="A17" s="257" t="s">
        <v>153</v>
      </c>
      <c r="B17" s="73">
        <v>0</v>
      </c>
      <c r="C17" s="73">
        <v>0</v>
      </c>
      <c r="D17" s="73">
        <v>0</v>
      </c>
    </row>
    <row r="18" spans="1:4" x14ac:dyDescent="0.2">
      <c r="A18" s="257" t="s">
        <v>154</v>
      </c>
      <c r="B18" s="73">
        <v>0</v>
      </c>
      <c r="C18" s="73">
        <v>0</v>
      </c>
      <c r="D18" s="73">
        <v>0</v>
      </c>
    </row>
    <row r="19" spans="1:4" x14ac:dyDescent="0.2">
      <c r="A19" s="257" t="s">
        <v>155</v>
      </c>
      <c r="B19" s="73">
        <v>0</v>
      </c>
      <c r="C19" s="73">
        <v>0</v>
      </c>
      <c r="D19" s="73">
        <v>0</v>
      </c>
    </row>
    <row r="20" spans="1:4" x14ac:dyDescent="0.2">
      <c r="A20" s="257" t="s">
        <v>156</v>
      </c>
      <c r="B20" s="73">
        <v>0</v>
      </c>
      <c r="C20" s="73">
        <v>0</v>
      </c>
      <c r="D20" s="73">
        <v>0</v>
      </c>
    </row>
    <row r="21" spans="1:4" x14ac:dyDescent="0.2">
      <c r="A21" s="257" t="s">
        <v>157</v>
      </c>
      <c r="B21" s="73">
        <v>0</v>
      </c>
      <c r="C21" s="73">
        <v>0</v>
      </c>
      <c r="D21" s="73">
        <v>0</v>
      </c>
    </row>
    <row r="32" spans="1:4" x14ac:dyDescent="0.2">
      <c r="B32" s="199"/>
      <c r="C32" s="199"/>
      <c r="D32" s="199"/>
    </row>
    <row r="33" spans="1:5" s="195" customFormat="1" x14ac:dyDescent="0.2">
      <c r="A33" s="195" t="s">
        <v>35</v>
      </c>
      <c r="B33" s="198">
        <f>SUM(B6:B32)</f>
        <v>0</v>
      </c>
      <c r="C33" s="198">
        <f>SUM(C6:C32)</f>
        <v>0</v>
      </c>
      <c r="D33" s="198">
        <f>SUM(D6:D32)</f>
        <v>0</v>
      </c>
      <c r="E33" s="198"/>
    </row>
    <row r="35" spans="1:5" x14ac:dyDescent="0.2">
      <c r="A35" s="179" t="s">
        <v>148</v>
      </c>
      <c r="B35" s="197">
        <f>195000-B33</f>
        <v>195000</v>
      </c>
      <c r="C35" s="197">
        <f>195000-C33</f>
        <v>195000</v>
      </c>
      <c r="D35" s="197">
        <f>195000-D33</f>
        <v>195000</v>
      </c>
    </row>
  </sheetData>
  <phoneticPr fontId="54" type="noConversion"/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view="pageBreakPreview" zoomScale="90" zoomScaleNormal="80" zoomScaleSheetLayoutView="90" workbookViewId="0">
      <selection sqref="A1:A1048576"/>
    </sheetView>
  </sheetViews>
  <sheetFormatPr defaultColWidth="11.42578125" defaultRowHeight="12.75" x14ac:dyDescent="0.2"/>
  <cols>
    <col min="1" max="1" width="39.28515625" style="1" customWidth="1"/>
    <col min="2" max="5" width="12.7109375" style="1" customWidth="1"/>
    <col min="6" max="6" width="45.7109375" style="48" customWidth="1"/>
    <col min="7" max="16384" width="11.42578125" style="1"/>
  </cols>
  <sheetData>
    <row r="1" spans="1:6" ht="18.75" x14ac:dyDescent="0.3">
      <c r="A1" s="99" t="str">
        <f>'Page 3-Assumptions'!A1</f>
        <v>Colorado Military Academy</v>
      </c>
      <c r="B1" s="100"/>
      <c r="C1" s="100"/>
      <c r="D1" s="100"/>
      <c r="E1" s="64"/>
      <c r="F1" s="136" t="s">
        <v>132</v>
      </c>
    </row>
    <row r="2" spans="1:6" ht="18.75" x14ac:dyDescent="0.3">
      <c r="A2" s="101" t="str">
        <f>B3</f>
        <v>YEAR 2</v>
      </c>
      <c r="B2" s="14"/>
      <c r="C2" s="14"/>
      <c r="D2" s="14"/>
      <c r="E2" s="66"/>
      <c r="F2" s="114"/>
    </row>
    <row r="3" spans="1:6" s="2" customFormat="1" x14ac:dyDescent="0.2">
      <c r="A3" s="102"/>
      <c r="B3" s="391" t="str">
        <f>'Page 10-6 yr Budget-detail'!D4</f>
        <v>YEAR 2</v>
      </c>
      <c r="C3" s="392"/>
      <c r="D3" s="392"/>
      <c r="E3" s="393"/>
      <c r="F3" s="121"/>
    </row>
    <row r="4" spans="1:6" s="2" customFormat="1" ht="25.5" x14ac:dyDescent="0.2">
      <c r="A4" s="67"/>
      <c r="B4" s="3" t="s">
        <v>44</v>
      </c>
      <c r="C4" s="3" t="s">
        <v>133</v>
      </c>
      <c r="D4" s="3" t="s">
        <v>243</v>
      </c>
      <c r="E4" s="3" t="s">
        <v>35</v>
      </c>
      <c r="F4" s="122" t="s">
        <v>77</v>
      </c>
    </row>
    <row r="5" spans="1:6" s="2" customFormat="1" x14ac:dyDescent="0.2">
      <c r="A5" s="103" t="s">
        <v>89</v>
      </c>
      <c r="B5" s="19"/>
      <c r="C5" s="19"/>
      <c r="D5" s="19"/>
      <c r="E5" s="60">
        <f>'Page 1-Enrollment Plan'!C20</f>
        <v>524</v>
      </c>
      <c r="F5" s="44"/>
    </row>
    <row r="6" spans="1:6" s="2" customFormat="1" x14ac:dyDescent="0.2">
      <c r="A6" s="103" t="s">
        <v>59</v>
      </c>
      <c r="B6" s="19"/>
      <c r="C6" s="19"/>
      <c r="D6" s="19"/>
      <c r="E6" s="59">
        <f>'Page 1-Enrollment Plan'!C22</f>
        <v>524</v>
      </c>
      <c r="F6" s="127"/>
    </row>
    <row r="7" spans="1:6" s="2" customFormat="1" x14ac:dyDescent="0.2">
      <c r="A7" s="67" t="s">
        <v>37</v>
      </c>
      <c r="B7" s="19"/>
      <c r="C7" s="19"/>
      <c r="D7" s="19"/>
      <c r="E7" s="5"/>
      <c r="F7" s="127"/>
    </row>
    <row r="8" spans="1:6" x14ac:dyDescent="0.2">
      <c r="A8" s="104" t="s">
        <v>445</v>
      </c>
      <c r="B8" s="173">
        <v>0</v>
      </c>
      <c r="C8" s="173">
        <v>0</v>
      </c>
      <c r="D8" s="173"/>
      <c r="E8" s="72">
        <f t="shared" ref="E8:E27" si="0">SUM(B8:D8)</f>
        <v>0</v>
      </c>
      <c r="F8" s="128"/>
    </row>
    <row r="9" spans="1:6" x14ac:dyDescent="0.2">
      <c r="A9" s="104" t="s">
        <v>210</v>
      </c>
      <c r="B9" s="90">
        <f>'Page 1-Enrollment Plan'!C6*'Page 3-Assumptions'!D18</f>
        <v>0</v>
      </c>
      <c r="C9" s="173"/>
      <c r="D9" s="173"/>
      <c r="E9" s="72">
        <f>SUM(B9:D9)</f>
        <v>0</v>
      </c>
      <c r="F9" s="128"/>
    </row>
    <row r="10" spans="1:6" x14ac:dyDescent="0.2">
      <c r="A10" s="104" t="s">
        <v>453</v>
      </c>
      <c r="B10" s="90">
        <v>12000</v>
      </c>
      <c r="C10" s="135"/>
      <c r="D10" s="135"/>
      <c r="E10" s="72">
        <f t="shared" si="0"/>
        <v>12000</v>
      </c>
      <c r="F10" s="128"/>
    </row>
    <row r="11" spans="1:6" x14ac:dyDescent="0.2">
      <c r="A11" s="104" t="s">
        <v>1</v>
      </c>
      <c r="B11" s="173">
        <v>1000</v>
      </c>
      <c r="C11" s="135"/>
      <c r="D11" s="135"/>
      <c r="E11" s="72">
        <f t="shared" si="0"/>
        <v>1000</v>
      </c>
      <c r="F11" s="128" t="s">
        <v>430</v>
      </c>
    </row>
    <row r="12" spans="1:6" x14ac:dyDescent="0.2">
      <c r="A12" s="104" t="s">
        <v>195</v>
      </c>
      <c r="B12" s="173"/>
      <c r="C12" s="173"/>
      <c r="D12" s="173"/>
      <c r="E12" s="72">
        <f t="shared" si="0"/>
        <v>0</v>
      </c>
      <c r="F12" s="128"/>
    </row>
    <row r="13" spans="1:6" x14ac:dyDescent="0.2">
      <c r="A13" s="104" t="s">
        <v>444</v>
      </c>
      <c r="B13" s="173">
        <f>183000/'Page 5-Year 1'!E6*'16 MO projection'!E6</f>
        <v>176349.86023245548</v>
      </c>
      <c r="C13" s="135"/>
      <c r="D13" s="135"/>
      <c r="E13" s="72">
        <f t="shared" si="0"/>
        <v>176349.86023245548</v>
      </c>
      <c r="F13" s="128"/>
    </row>
    <row r="14" spans="1:6" x14ac:dyDescent="0.2">
      <c r="A14" s="104" t="s">
        <v>3</v>
      </c>
      <c r="B14" s="173">
        <f>61000+40*E5+50000</f>
        <v>131960</v>
      </c>
      <c r="C14" s="135"/>
      <c r="D14" s="135"/>
      <c r="E14" s="72">
        <f t="shared" si="0"/>
        <v>131960</v>
      </c>
      <c r="F14" s="128" t="s">
        <v>452</v>
      </c>
    </row>
    <row r="15" spans="1:6" x14ac:dyDescent="0.2">
      <c r="A15" s="105" t="s">
        <v>4</v>
      </c>
      <c r="B15" s="173">
        <v>2000</v>
      </c>
      <c r="C15" s="135"/>
      <c r="D15" s="135"/>
      <c r="E15" s="72">
        <f t="shared" si="0"/>
        <v>2000</v>
      </c>
      <c r="F15" s="128" t="s">
        <v>429</v>
      </c>
    </row>
    <row r="16" spans="1:6" x14ac:dyDescent="0.2">
      <c r="A16" s="105" t="s">
        <v>5</v>
      </c>
      <c r="B16" s="90">
        <f>E5*'Page 3-Assumptions'!D7</f>
        <v>131000</v>
      </c>
      <c r="C16" s="135"/>
      <c r="D16" s="135"/>
      <c r="E16" s="72">
        <f t="shared" si="0"/>
        <v>131000</v>
      </c>
      <c r="F16" s="128"/>
    </row>
    <row r="17" spans="1:6" x14ac:dyDescent="0.2">
      <c r="A17" s="105" t="s">
        <v>232</v>
      </c>
      <c r="B17" s="90">
        <f>'Page 3-Assumptions'!D8</f>
        <v>57640</v>
      </c>
      <c r="C17" s="135"/>
      <c r="D17" s="135"/>
      <c r="E17" s="72">
        <f t="shared" si="0"/>
        <v>57640</v>
      </c>
      <c r="F17" s="128"/>
    </row>
    <row r="18" spans="1:6" x14ac:dyDescent="0.2">
      <c r="A18" s="104" t="s">
        <v>249</v>
      </c>
      <c r="B18" s="90"/>
      <c r="C18" s="90"/>
      <c r="D18" s="135"/>
      <c r="E18" s="72">
        <f>SUM(B18:D18)</f>
        <v>0</v>
      </c>
      <c r="F18" s="128"/>
    </row>
    <row r="19" spans="1:6" x14ac:dyDescent="0.2">
      <c r="A19" s="104" t="s">
        <v>188</v>
      </c>
      <c r="B19" s="90">
        <f>'Page 3-Assumptions'!D13</f>
        <v>1286</v>
      </c>
      <c r="C19" s="90"/>
      <c r="D19" s="90"/>
      <c r="E19" s="72">
        <f t="shared" si="0"/>
        <v>1286</v>
      </c>
      <c r="F19" s="128"/>
    </row>
    <row r="20" spans="1:6" x14ac:dyDescent="0.2">
      <c r="A20" s="104" t="s">
        <v>196</v>
      </c>
      <c r="B20" s="258"/>
      <c r="C20" s="173"/>
      <c r="D20" s="173"/>
      <c r="E20" s="72">
        <f t="shared" si="0"/>
        <v>0</v>
      </c>
      <c r="F20" s="128"/>
    </row>
    <row r="21" spans="1:6" x14ac:dyDescent="0.2">
      <c r="A21" s="104" t="s">
        <v>179</v>
      </c>
      <c r="B21" s="90">
        <f>'Page 5-Year 1'!C21</f>
        <v>80825</v>
      </c>
      <c r="C21" s="90"/>
      <c r="D21" s="135"/>
      <c r="E21" s="72">
        <f t="shared" si="0"/>
        <v>80825</v>
      </c>
      <c r="F21" s="128"/>
    </row>
    <row r="22" spans="1:6" x14ac:dyDescent="0.2">
      <c r="A22" s="104" t="s">
        <v>233</v>
      </c>
      <c r="B22" s="90">
        <f>'Page 5-Year 1'!C22</f>
        <v>82721</v>
      </c>
      <c r="C22" s="90"/>
      <c r="D22" s="135"/>
      <c r="E22" s="72">
        <f t="shared" si="0"/>
        <v>82721</v>
      </c>
      <c r="F22" s="128"/>
    </row>
    <row r="23" spans="1:6" x14ac:dyDescent="0.2">
      <c r="A23" s="104" t="s">
        <v>180</v>
      </c>
      <c r="B23" s="90">
        <f>'Page 5-Year 1'!C23</f>
        <v>1578.5</v>
      </c>
      <c r="C23" s="90"/>
      <c r="D23" s="135"/>
      <c r="E23" s="72">
        <f t="shared" si="0"/>
        <v>1578.5</v>
      </c>
      <c r="F23" s="128"/>
    </row>
    <row r="24" spans="1:6" x14ac:dyDescent="0.2">
      <c r="A24" s="104" t="s">
        <v>197</v>
      </c>
      <c r="B24" s="173"/>
      <c r="C24" s="173"/>
      <c r="D24" s="173"/>
      <c r="E24" s="72">
        <f t="shared" si="0"/>
        <v>0</v>
      </c>
      <c r="F24" s="128"/>
    </row>
    <row r="25" spans="1:6" x14ac:dyDescent="0.2">
      <c r="A25" s="104" t="s">
        <v>181</v>
      </c>
      <c r="B25" s="90">
        <v>0</v>
      </c>
      <c r="C25" s="135"/>
      <c r="D25" s="173">
        <v>0</v>
      </c>
      <c r="E25" s="72">
        <f t="shared" si="0"/>
        <v>0</v>
      </c>
      <c r="F25" s="128"/>
    </row>
    <row r="26" spans="1:6" x14ac:dyDescent="0.2">
      <c r="A26" s="104" t="s">
        <v>131</v>
      </c>
      <c r="B26" s="141">
        <f>E6*'Page 3-Assumptions'!D5</f>
        <v>4323000</v>
      </c>
      <c r="C26" s="139"/>
      <c r="D26" s="139"/>
      <c r="E26" s="72">
        <f t="shared" si="0"/>
        <v>4323000</v>
      </c>
      <c r="F26" s="128"/>
    </row>
    <row r="27" spans="1:6" x14ac:dyDescent="0.2">
      <c r="A27" s="264" t="s">
        <v>182</v>
      </c>
      <c r="B27" s="141">
        <f>'Page 3-Assumptions'!D6</f>
        <v>0</v>
      </c>
      <c r="C27" s="141"/>
      <c r="D27" s="141"/>
      <c r="E27" s="72">
        <f t="shared" si="0"/>
        <v>0</v>
      </c>
      <c r="F27" s="128"/>
    </row>
    <row r="28" spans="1:6" x14ac:dyDescent="0.2">
      <c r="A28" s="218" t="s">
        <v>38</v>
      </c>
      <c r="B28" s="213">
        <f>SUM(B8:B27)</f>
        <v>5001360.3602324557</v>
      </c>
      <c r="C28" s="213">
        <f>SUM(C8:C27)</f>
        <v>0</v>
      </c>
      <c r="D28" s="213">
        <f>SUM(D8:D27)</f>
        <v>0</v>
      </c>
      <c r="E28" s="213">
        <f>SUM(E8:E27)</f>
        <v>5001360.3602324557</v>
      </c>
      <c r="F28" s="128"/>
    </row>
    <row r="29" spans="1:6" x14ac:dyDescent="0.2">
      <c r="A29" s="123"/>
      <c r="B29" s="21"/>
      <c r="C29" s="21"/>
      <c r="D29" s="21"/>
      <c r="E29" s="4"/>
      <c r="F29" s="128"/>
    </row>
    <row r="30" spans="1:6" x14ac:dyDescent="0.2">
      <c r="A30" s="124" t="s">
        <v>39</v>
      </c>
      <c r="B30" s="89"/>
      <c r="C30" s="89"/>
      <c r="D30" s="89"/>
      <c r="E30" s="4"/>
      <c r="F30" s="128"/>
    </row>
    <row r="31" spans="1:6" x14ac:dyDescent="0.2">
      <c r="A31" s="104" t="s">
        <v>93</v>
      </c>
      <c r="B31" s="140">
        <f>'Page 2-Staffing Plan'!D32</f>
        <v>2401880</v>
      </c>
      <c r="C31" s="173"/>
      <c r="D31" s="173"/>
      <c r="E31" s="72">
        <f t="shared" ref="E31:E72" si="1">SUM(B31:D31)</f>
        <v>2401880</v>
      </c>
      <c r="F31" s="128"/>
    </row>
    <row r="32" spans="1:6" x14ac:dyDescent="0.2">
      <c r="A32" s="104" t="s">
        <v>6</v>
      </c>
      <c r="B32" s="90">
        <v>29000</v>
      </c>
      <c r="C32" s="173"/>
      <c r="D32" s="173"/>
      <c r="E32" s="72">
        <f t="shared" si="1"/>
        <v>29000</v>
      </c>
      <c r="F32" s="128"/>
    </row>
    <row r="33" spans="1:6" x14ac:dyDescent="0.2">
      <c r="A33" s="104" t="s">
        <v>7</v>
      </c>
      <c r="B33" s="90">
        <f>(B31+B32)*1.45%</f>
        <v>35247.759999999995</v>
      </c>
      <c r="C33" s="90"/>
      <c r="D33" s="173"/>
      <c r="E33" s="72">
        <f t="shared" si="1"/>
        <v>35247.759999999995</v>
      </c>
      <c r="F33" s="128"/>
    </row>
    <row r="34" spans="1:6" x14ac:dyDescent="0.2">
      <c r="A34" s="104" t="s">
        <v>8</v>
      </c>
      <c r="B34" s="90"/>
      <c r="C34" s="173"/>
      <c r="D34" s="173"/>
      <c r="E34" s="72">
        <f t="shared" si="1"/>
        <v>0</v>
      </c>
      <c r="F34" s="128"/>
    </row>
    <row r="35" spans="1:6" x14ac:dyDescent="0.2">
      <c r="A35" s="104" t="s">
        <v>189</v>
      </c>
      <c r="B35" s="90">
        <f>((E31+E32)*'Page 3-Assumptions'!D25)-C35</f>
        <v>495899.51999999996</v>
      </c>
      <c r="C35" s="202"/>
      <c r="D35" s="173"/>
      <c r="E35" s="72">
        <f t="shared" si="1"/>
        <v>495899.51999999996</v>
      </c>
      <c r="F35" s="128"/>
    </row>
    <row r="36" spans="1:6" x14ac:dyDescent="0.2">
      <c r="A36" s="104" t="s">
        <v>9</v>
      </c>
      <c r="B36" s="90">
        <f>('Page 3-Assumptions'!B35*1.05^2)*'Page 2-Staffing Plan'!D37</f>
        <v>160315.848</v>
      </c>
      <c r="C36" s="173"/>
      <c r="D36" s="173"/>
      <c r="E36" s="72">
        <f t="shared" si="1"/>
        <v>160315.848</v>
      </c>
      <c r="F36" s="128"/>
    </row>
    <row r="37" spans="1:6" x14ac:dyDescent="0.2">
      <c r="A37" s="104" t="s">
        <v>10</v>
      </c>
      <c r="B37" s="90">
        <f>('Page 3-Assumptions'!B36*1.02^1)*'Page 2-Staffing Plan'!D37</f>
        <v>8143.0272000000014</v>
      </c>
      <c r="C37" s="173"/>
      <c r="D37" s="173"/>
      <c r="E37" s="72">
        <f t="shared" si="1"/>
        <v>8143.0272000000014</v>
      </c>
      <c r="F37" s="128"/>
    </row>
    <row r="38" spans="1:6" x14ac:dyDescent="0.2">
      <c r="A38" s="104" t="s">
        <v>11</v>
      </c>
      <c r="B38" s="90">
        <f>'Page 3-Assumptions'!$B$37*'Page 2-Staffing Plan'!D37</f>
        <v>2970</v>
      </c>
      <c r="C38" s="173"/>
      <c r="D38" s="173"/>
      <c r="E38" s="72">
        <f t="shared" si="1"/>
        <v>2970</v>
      </c>
      <c r="F38" s="128"/>
    </row>
    <row r="39" spans="1:6" x14ac:dyDescent="0.2">
      <c r="A39" s="104" t="s">
        <v>194</v>
      </c>
      <c r="B39" s="90"/>
      <c r="C39" s="258"/>
      <c r="D39" s="173"/>
      <c r="E39" s="72">
        <f t="shared" si="1"/>
        <v>0</v>
      </c>
      <c r="F39" s="128"/>
    </row>
    <row r="40" spans="1:6" x14ac:dyDescent="0.2">
      <c r="A40" s="104" t="s">
        <v>119</v>
      </c>
      <c r="B40" s="90">
        <v>2700</v>
      </c>
      <c r="C40" s="173"/>
      <c r="D40" s="173"/>
      <c r="E40" s="72">
        <f t="shared" si="1"/>
        <v>2700</v>
      </c>
      <c r="F40" s="128"/>
    </row>
    <row r="41" spans="1:6" x14ac:dyDescent="0.2">
      <c r="A41" s="104" t="s">
        <v>12</v>
      </c>
      <c r="B41" s="90">
        <f>9000*12-C41</f>
        <v>108000</v>
      </c>
      <c r="C41" s="173"/>
      <c r="D41" s="173"/>
      <c r="E41" s="72">
        <f t="shared" si="1"/>
        <v>108000</v>
      </c>
      <c r="F41" s="128" t="s">
        <v>449</v>
      </c>
    </row>
    <row r="42" spans="1:6" x14ac:dyDescent="0.2">
      <c r="A42" s="104" t="s">
        <v>190</v>
      </c>
      <c r="B42" s="90">
        <f>E5*'Page 3-Assumptions'!$B$40</f>
        <v>23580</v>
      </c>
      <c r="C42" s="173"/>
      <c r="D42" s="173"/>
      <c r="E42" s="72">
        <f t="shared" si="1"/>
        <v>23580</v>
      </c>
      <c r="F42" s="128"/>
    </row>
    <row r="43" spans="1:6" x14ac:dyDescent="0.2">
      <c r="A43" s="104" t="s">
        <v>13</v>
      </c>
      <c r="B43" s="173">
        <v>10000</v>
      </c>
      <c r="C43" s="173"/>
      <c r="D43" s="173">
        <f>'Support-CDE start-up grant'!D11</f>
        <v>0</v>
      </c>
      <c r="E43" s="72">
        <f t="shared" si="1"/>
        <v>10000</v>
      </c>
      <c r="F43" s="128"/>
    </row>
    <row r="44" spans="1:6" x14ac:dyDescent="0.2">
      <c r="A44" s="104" t="s">
        <v>14</v>
      </c>
      <c r="B44" s="173">
        <f>10000</f>
        <v>10000</v>
      </c>
      <c r="C44" s="173"/>
      <c r="D44" s="173">
        <f>'Support-CDE start-up grant'!D10</f>
        <v>0</v>
      </c>
      <c r="E44" s="72">
        <f t="shared" si="1"/>
        <v>10000</v>
      </c>
      <c r="F44" s="128" t="s">
        <v>457</v>
      </c>
    </row>
    <row r="45" spans="1:6" x14ac:dyDescent="0.2">
      <c r="A45" s="104" t="s">
        <v>15</v>
      </c>
      <c r="B45" s="173">
        <f>3750*12+44000</f>
        <v>89000</v>
      </c>
      <c r="C45" s="173"/>
      <c r="D45" s="173" t="s">
        <v>76</v>
      </c>
      <c r="E45" s="72">
        <f t="shared" si="1"/>
        <v>89000</v>
      </c>
      <c r="F45" s="128" t="s">
        <v>448</v>
      </c>
    </row>
    <row r="46" spans="1:6" x14ac:dyDescent="0.2">
      <c r="A46" s="104" t="s">
        <v>16</v>
      </c>
      <c r="B46" s="173">
        <f>'Page 5-Year 1'!B46*1.1</f>
        <v>27944.400000000001</v>
      </c>
      <c r="C46" s="173"/>
      <c r="D46" s="173">
        <f>'Support-CDE start-up grant'!D12</f>
        <v>0</v>
      </c>
      <c r="E46" s="72">
        <f t="shared" si="1"/>
        <v>27944.400000000001</v>
      </c>
      <c r="F46" s="128" t="s">
        <v>431</v>
      </c>
    </row>
    <row r="47" spans="1:6" x14ac:dyDescent="0.2">
      <c r="A47" s="104" t="s">
        <v>211</v>
      </c>
      <c r="B47" s="173">
        <f>'Page 5-Year 1'!B47</f>
        <v>153817</v>
      </c>
      <c r="C47" s="258"/>
      <c r="D47" s="173"/>
      <c r="E47" s="72">
        <f>SUM(B47:D47)</f>
        <v>153817</v>
      </c>
      <c r="F47" s="128"/>
    </row>
    <row r="48" spans="1:6" x14ac:dyDescent="0.2">
      <c r="A48" s="104" t="s">
        <v>17</v>
      </c>
      <c r="B48" s="173">
        <f>'Page 5-Year 1'!B48*1.75</f>
        <v>88205.25</v>
      </c>
      <c r="C48" s="173"/>
      <c r="D48" s="173"/>
      <c r="E48" s="72">
        <f t="shared" si="1"/>
        <v>88205.25</v>
      </c>
      <c r="F48" s="128" t="s">
        <v>432</v>
      </c>
    </row>
    <row r="49" spans="1:6" x14ac:dyDescent="0.2">
      <c r="A49" s="104" t="s">
        <v>18</v>
      </c>
      <c r="B49" s="173">
        <v>59000</v>
      </c>
      <c r="C49" s="173"/>
      <c r="D49" s="173"/>
      <c r="E49" s="72">
        <f t="shared" si="1"/>
        <v>59000</v>
      </c>
      <c r="F49" s="128" t="s">
        <v>450</v>
      </c>
    </row>
    <row r="50" spans="1:6" x14ac:dyDescent="0.2">
      <c r="A50" s="104" t="s">
        <v>19</v>
      </c>
      <c r="B50" s="90">
        <v>720000</v>
      </c>
      <c r="C50" s="173"/>
      <c r="D50" s="173"/>
      <c r="E50" s="72">
        <f t="shared" si="1"/>
        <v>720000</v>
      </c>
      <c r="F50" s="128" t="s">
        <v>76</v>
      </c>
    </row>
    <row r="51" spans="1:6" x14ac:dyDescent="0.2">
      <c r="A51" s="104" t="s">
        <v>20</v>
      </c>
      <c r="B51" s="90">
        <f>('Page 3-Assumptions'!$B$42+'Page 3-Assumptions'!$B$43)*'Page 1-Enrollment Plan'!C20</f>
        <v>10480</v>
      </c>
      <c r="C51" s="173"/>
      <c r="D51" s="173"/>
      <c r="E51" s="72">
        <f t="shared" si="1"/>
        <v>10480</v>
      </c>
      <c r="F51" s="128"/>
    </row>
    <row r="52" spans="1:6" x14ac:dyDescent="0.2">
      <c r="A52" s="104" t="s">
        <v>255</v>
      </c>
      <c r="B52" s="90">
        <v>45000</v>
      </c>
      <c r="C52" s="173"/>
      <c r="D52" s="173"/>
      <c r="E52" s="72">
        <f t="shared" si="1"/>
        <v>45000</v>
      </c>
      <c r="F52" s="128"/>
    </row>
    <row r="53" spans="1:6" x14ac:dyDescent="0.2">
      <c r="A53" s="104" t="s">
        <v>21</v>
      </c>
      <c r="B53" s="90">
        <f>'Page 3-Assumptions'!$D$28*(E31+E32)</f>
        <v>7292.64</v>
      </c>
      <c r="C53" s="173"/>
      <c r="D53" s="173"/>
      <c r="E53" s="72">
        <f t="shared" si="1"/>
        <v>7292.64</v>
      </c>
      <c r="F53" s="128"/>
    </row>
    <row r="54" spans="1:6" x14ac:dyDescent="0.2">
      <c r="A54" s="104" t="s">
        <v>22</v>
      </c>
      <c r="B54" s="90">
        <f>((E31+E32)/100)*0.75</f>
        <v>18231.599999999999</v>
      </c>
      <c r="C54" s="173"/>
      <c r="D54" s="173"/>
      <c r="E54" s="72">
        <f t="shared" si="1"/>
        <v>18231.599999999999</v>
      </c>
      <c r="F54" s="128"/>
    </row>
    <row r="55" spans="1:6" x14ac:dyDescent="0.2">
      <c r="A55" s="104" t="s">
        <v>23</v>
      </c>
      <c r="B55" s="173">
        <f>'Page 5-Year 1'!B55*1.5</f>
        <v>6480</v>
      </c>
      <c r="C55" s="173"/>
      <c r="D55" s="173"/>
      <c r="E55" s="72">
        <f t="shared" si="1"/>
        <v>6480</v>
      </c>
      <c r="F55" s="128" t="s">
        <v>451</v>
      </c>
    </row>
    <row r="56" spans="1:6" x14ac:dyDescent="0.2">
      <c r="A56" s="104" t="s">
        <v>24</v>
      </c>
      <c r="B56" s="90">
        <f>'Page 3-Assumptions'!$B$44*'Page 1-Enrollment Plan'!$C$20</f>
        <v>2620</v>
      </c>
      <c r="C56" s="173"/>
      <c r="D56" s="173"/>
      <c r="E56" s="72">
        <f t="shared" si="1"/>
        <v>2620</v>
      </c>
      <c r="F56" s="128"/>
    </row>
    <row r="57" spans="1:6" x14ac:dyDescent="0.2">
      <c r="A57" s="104" t="s">
        <v>42</v>
      </c>
      <c r="B57" s="90">
        <f>E5*'Page 3-Assumptions'!$B$45</f>
        <v>6550</v>
      </c>
      <c r="C57" s="173"/>
      <c r="D57" s="173">
        <f>'Support-CDE start-up grant'!D13</f>
        <v>0</v>
      </c>
      <c r="E57" s="72">
        <f t="shared" si="1"/>
        <v>6550</v>
      </c>
      <c r="F57" s="128"/>
    </row>
    <row r="58" spans="1:6" x14ac:dyDescent="0.2">
      <c r="A58" s="104" t="s">
        <v>25</v>
      </c>
      <c r="B58" s="90">
        <f>'Page 2-Staffing Plan'!D37*'Page 3-Assumptions'!$B$38</f>
        <v>2970</v>
      </c>
      <c r="C58" s="173"/>
      <c r="D58" s="174">
        <f>'Support-CDE start-up grant'!D14</f>
        <v>0</v>
      </c>
      <c r="E58" s="72">
        <f t="shared" si="1"/>
        <v>2970</v>
      </c>
      <c r="F58" s="128" t="s">
        <v>76</v>
      </c>
    </row>
    <row r="59" spans="1:6" x14ac:dyDescent="0.2">
      <c r="A59" s="104" t="s">
        <v>193</v>
      </c>
      <c r="B59" s="202">
        <f>E26*'Page 3-Assumptions'!D23</f>
        <v>129690</v>
      </c>
      <c r="C59" s="173"/>
      <c r="D59" s="173"/>
      <c r="E59" s="72">
        <f t="shared" si="1"/>
        <v>129690</v>
      </c>
      <c r="F59" s="128"/>
    </row>
    <row r="60" spans="1:6" x14ac:dyDescent="0.2">
      <c r="A60" s="104" t="s">
        <v>192</v>
      </c>
      <c r="B60" s="90">
        <f>B26*'Page 3-Assumptions'!D24</f>
        <v>43230</v>
      </c>
      <c r="C60" s="173"/>
      <c r="D60" s="173"/>
      <c r="E60" s="72">
        <f t="shared" si="1"/>
        <v>43230</v>
      </c>
      <c r="F60" s="128"/>
    </row>
    <row r="61" spans="1:6" x14ac:dyDescent="0.2">
      <c r="A61" s="104" t="s">
        <v>26</v>
      </c>
      <c r="B61" s="90">
        <f>'Page 3-Assumptions'!$B$46*'Page 1-Enrollment Plan'!$C$20*0.9</f>
        <v>28296</v>
      </c>
      <c r="C61" s="173"/>
      <c r="D61" s="173">
        <v>0</v>
      </c>
      <c r="E61" s="72">
        <f t="shared" si="1"/>
        <v>28296</v>
      </c>
      <c r="F61" s="128"/>
    </row>
    <row r="62" spans="1:6" x14ac:dyDescent="0.2">
      <c r="A62" s="104" t="s">
        <v>27</v>
      </c>
      <c r="B62" s="90">
        <f>E5*'Page 3-Assumptions'!$B$47</f>
        <v>7860</v>
      </c>
      <c r="C62" s="173"/>
      <c r="D62" s="173"/>
      <c r="E62" s="72">
        <f t="shared" si="1"/>
        <v>7860</v>
      </c>
      <c r="F62" s="128"/>
    </row>
    <row r="63" spans="1:6" x14ac:dyDescent="0.2">
      <c r="A63" s="104" t="s">
        <v>41</v>
      </c>
      <c r="B63" s="90">
        <f>E5*'Page 3-Assumptions'!$B$48</f>
        <v>5240</v>
      </c>
      <c r="C63" s="173"/>
      <c r="D63" s="173"/>
      <c r="E63" s="72">
        <f t="shared" si="1"/>
        <v>5240</v>
      </c>
      <c r="F63" s="128"/>
    </row>
    <row r="64" spans="1:6" x14ac:dyDescent="0.2">
      <c r="A64" s="104" t="s">
        <v>28</v>
      </c>
      <c r="B64" s="258">
        <f>624*20+64000*0.2</f>
        <v>25280</v>
      </c>
      <c r="C64" s="173"/>
      <c r="D64" s="173">
        <f>'Support-CDE start-up grant'!D15</f>
        <v>0</v>
      </c>
      <c r="E64" s="72">
        <f t="shared" si="1"/>
        <v>25280</v>
      </c>
      <c r="F64" s="128" t="s">
        <v>428</v>
      </c>
    </row>
    <row r="65" spans="1:6" x14ac:dyDescent="0.2">
      <c r="A65" s="104" t="s">
        <v>29</v>
      </c>
      <c r="B65" s="173">
        <f>'Page 5-Year 1'!B65*0.5*0.15</f>
        <v>45</v>
      </c>
      <c r="C65" s="173"/>
      <c r="D65" s="173"/>
      <c r="E65" s="72">
        <f t="shared" si="1"/>
        <v>45</v>
      </c>
      <c r="F65" s="128" t="s">
        <v>431</v>
      </c>
    </row>
    <row r="66" spans="1:6" x14ac:dyDescent="0.2">
      <c r="A66" s="104" t="s">
        <v>191</v>
      </c>
      <c r="B66" s="173">
        <f>'Page 5-Year 1'!B66*1.5</f>
        <v>22500</v>
      </c>
      <c r="C66" s="173"/>
      <c r="D66" s="173"/>
      <c r="E66" s="72">
        <f t="shared" si="1"/>
        <v>22500</v>
      </c>
      <c r="F66" s="128"/>
    </row>
    <row r="67" spans="1:6" x14ac:dyDescent="0.2">
      <c r="A67" s="104" t="s">
        <v>30</v>
      </c>
      <c r="B67" s="173">
        <v>20000</v>
      </c>
      <c r="C67" s="173"/>
      <c r="D67" s="173">
        <v>0</v>
      </c>
      <c r="E67" s="72">
        <f t="shared" si="1"/>
        <v>20000</v>
      </c>
      <c r="F67" s="128" t="s">
        <v>434</v>
      </c>
    </row>
    <row r="68" spans="1:6" x14ac:dyDescent="0.2">
      <c r="A68" s="104" t="s">
        <v>31</v>
      </c>
      <c r="B68" s="173">
        <f>('Page 1-Enrollment Plan'!C$20-'Page 1-Enrollment Plan'!B$20)*180+('Page 2-Staffing Plan'!D$37-'Page 2-Staffing Plan'!C$37)*500+3500</f>
        <v>-10800</v>
      </c>
      <c r="C68" s="173"/>
      <c r="D68" s="173">
        <v>0</v>
      </c>
      <c r="E68" s="72">
        <f t="shared" si="1"/>
        <v>-10800</v>
      </c>
      <c r="F68" s="128" t="s">
        <v>433</v>
      </c>
    </row>
    <row r="69" spans="1:6" x14ac:dyDescent="0.2">
      <c r="A69" s="104" t="s">
        <v>32</v>
      </c>
      <c r="B69" s="90">
        <f>'Page 3-Assumptions'!$B$49*'Page 1-Enrollment Plan'!C20</f>
        <v>10480</v>
      </c>
      <c r="C69" s="173"/>
      <c r="D69" s="173"/>
      <c r="E69" s="72">
        <f t="shared" si="1"/>
        <v>10480</v>
      </c>
      <c r="F69" s="128"/>
    </row>
    <row r="70" spans="1:6" x14ac:dyDescent="0.2">
      <c r="A70" s="104" t="s">
        <v>43</v>
      </c>
      <c r="B70" s="173"/>
      <c r="C70" s="173"/>
      <c r="D70" s="173"/>
      <c r="E70" s="72">
        <f t="shared" si="1"/>
        <v>0</v>
      </c>
      <c r="F70" s="128"/>
    </row>
    <row r="71" spans="1:6" x14ac:dyDescent="0.2">
      <c r="A71" s="104" t="s">
        <v>33</v>
      </c>
      <c r="B71" s="173">
        <f>'Page 5-Year 1'!B71*('Page 1-Enrollment Plan'!C$20/'Page 1-Enrollment Plan'!B$20)*0.5</f>
        <v>2647.3867595818815</v>
      </c>
      <c r="C71" s="173"/>
      <c r="D71" s="173"/>
      <c r="E71" s="72">
        <f t="shared" si="1"/>
        <v>2647.3867595818815</v>
      </c>
      <c r="F71" s="128" t="s">
        <v>435</v>
      </c>
    </row>
    <row r="72" spans="1:6" x14ac:dyDescent="0.2">
      <c r="A72" s="104" t="s">
        <v>34</v>
      </c>
      <c r="B72" s="173">
        <f>'Page 5-Year 1'!B72*('Page 1-Enrollment Plan'!C$20/'Page 1-Enrollment Plan'!B$20)*1.25*0.5</f>
        <v>0</v>
      </c>
      <c r="C72" s="175"/>
      <c r="D72" s="175"/>
      <c r="E72" s="72">
        <f t="shared" si="1"/>
        <v>0</v>
      </c>
      <c r="F72" s="128" t="s">
        <v>436</v>
      </c>
    </row>
    <row r="73" spans="1:6" x14ac:dyDescent="0.2">
      <c r="A73" s="217" t="s">
        <v>40</v>
      </c>
      <c r="B73" s="213">
        <f>SUM(B31:B72)</f>
        <v>4809795.4319595806</v>
      </c>
      <c r="C73" s="213">
        <f>SUM(C31:C72)</f>
        <v>0</v>
      </c>
      <c r="D73" s="213">
        <f>SUM(D31:D72)</f>
        <v>0</v>
      </c>
      <c r="E73" s="213">
        <f>SUM(E31:E72)</f>
        <v>4809795.4319595806</v>
      </c>
      <c r="F73" s="128"/>
    </row>
    <row r="74" spans="1:6" x14ac:dyDescent="0.2">
      <c r="A74" s="109"/>
      <c r="B74" s="21"/>
      <c r="C74" s="21"/>
      <c r="D74" s="21"/>
      <c r="E74" s="4"/>
      <c r="F74" s="128"/>
    </row>
    <row r="75" spans="1:6" x14ac:dyDescent="0.2">
      <c r="A75" s="222" t="s">
        <v>82</v>
      </c>
      <c r="B75" s="213">
        <f>B28-B73</f>
        <v>191564.92827287503</v>
      </c>
      <c r="C75" s="213">
        <f>C28-C73</f>
        <v>0</v>
      </c>
      <c r="D75" s="213">
        <f>D28-D73</f>
        <v>0</v>
      </c>
      <c r="E75" s="213">
        <f>E28-E73</f>
        <v>191564.92827287503</v>
      </c>
      <c r="F75" s="128"/>
    </row>
    <row r="76" spans="1:6" x14ac:dyDescent="0.2">
      <c r="A76" s="108"/>
      <c r="B76" s="21"/>
      <c r="C76" s="21"/>
      <c r="D76" s="21"/>
      <c r="E76" s="4"/>
      <c r="F76" s="128"/>
    </row>
    <row r="77" spans="1:6" x14ac:dyDescent="0.2">
      <c r="A77" s="109" t="s">
        <v>175</v>
      </c>
      <c r="B77" s="21"/>
      <c r="C77" s="21"/>
      <c r="D77" s="24"/>
      <c r="E77" s="4"/>
      <c r="F77" s="128"/>
    </row>
    <row r="78" spans="1:6" x14ac:dyDescent="0.2">
      <c r="A78" s="232" t="s">
        <v>187</v>
      </c>
      <c r="B78" s="21">
        <v>0</v>
      </c>
      <c r="C78" s="21"/>
      <c r="D78" s="24"/>
      <c r="E78" s="4">
        <f>B78+C78+D78</f>
        <v>0</v>
      </c>
      <c r="F78" s="128"/>
    </row>
    <row r="79" spans="1:6" x14ac:dyDescent="0.2">
      <c r="A79" s="110" t="s">
        <v>136</v>
      </c>
      <c r="B79" s="231">
        <f>-(3%*(B28))+'Page 5-Year 1'!E84</f>
        <v>-4890.4752069736714</v>
      </c>
      <c r="C79" s="21"/>
      <c r="D79" s="21"/>
      <c r="E79" s="4">
        <f>SUM(B79:D79)</f>
        <v>-4890.4752069736714</v>
      </c>
      <c r="F79" s="128"/>
    </row>
    <row r="80" spans="1:6" x14ac:dyDescent="0.2">
      <c r="A80" s="218" t="s">
        <v>45</v>
      </c>
      <c r="B80" s="221">
        <f>SUM(B75:B79)</f>
        <v>186674.45306590135</v>
      </c>
      <c r="C80" s="221">
        <f>SUM(C75:C79)</f>
        <v>0</v>
      </c>
      <c r="D80" s="221">
        <f>SUM(D75:D79)</f>
        <v>0</v>
      </c>
      <c r="E80" s="221">
        <f>E75-E79</f>
        <v>196455.4034798487</v>
      </c>
      <c r="F80" s="128"/>
    </row>
    <row r="81" spans="1:6" ht="15" x14ac:dyDescent="0.25">
      <c r="A81" s="119"/>
      <c r="B81" s="80"/>
      <c r="C81" s="80"/>
      <c r="D81" s="80"/>
      <c r="E81" s="120"/>
      <c r="F81" s="130"/>
    </row>
    <row r="82" spans="1:6" x14ac:dyDescent="0.2">
      <c r="A82" s="110" t="s">
        <v>95</v>
      </c>
      <c r="B82" s="14"/>
      <c r="C82" s="14"/>
      <c r="D82" s="14"/>
      <c r="E82" s="28">
        <f>'Page 5-Year 1'!E83</f>
        <v>105495.78479999956</v>
      </c>
      <c r="F82" s="130"/>
    </row>
    <row r="83" spans="1:6" x14ac:dyDescent="0.2">
      <c r="A83" s="110" t="s">
        <v>96</v>
      </c>
      <c r="B83" s="14"/>
      <c r="C83" s="14"/>
      <c r="D83" s="14"/>
      <c r="E83" s="28">
        <f>E75+E78+E82</f>
        <v>297060.71307287458</v>
      </c>
      <c r="F83" s="130"/>
    </row>
    <row r="84" spans="1:6" x14ac:dyDescent="0.2">
      <c r="A84" s="111" t="s">
        <v>97</v>
      </c>
      <c r="B84" s="14"/>
      <c r="C84" s="14"/>
      <c r="D84" s="14"/>
      <c r="E84" s="24">
        <f>'Page 5-Year 1'!E84-'16 MO projection'!E79</f>
        <v>150040.81080697366</v>
      </c>
      <c r="F84" s="130"/>
    </row>
    <row r="85" spans="1:6" x14ac:dyDescent="0.2">
      <c r="A85" s="111" t="s">
        <v>98</v>
      </c>
      <c r="B85" s="14"/>
      <c r="C85" s="14"/>
      <c r="D85" s="14"/>
      <c r="E85" s="24">
        <f>E83-E84</f>
        <v>147019.90226590092</v>
      </c>
      <c r="F85" s="130"/>
    </row>
    <row r="86" spans="1:6" x14ac:dyDescent="0.2">
      <c r="A86" s="112" t="s">
        <v>99</v>
      </c>
      <c r="B86" s="14"/>
      <c r="C86" s="14"/>
      <c r="D86" s="14"/>
      <c r="E86" s="113">
        <f>E85/E73</f>
        <v>3.0566768243198001E-2</v>
      </c>
      <c r="F86" s="130"/>
    </row>
    <row r="87" spans="1:6" x14ac:dyDescent="0.2">
      <c r="A87" s="117"/>
      <c r="B87" s="68"/>
      <c r="C87" s="68"/>
      <c r="D87" s="68"/>
      <c r="E87" s="69"/>
      <c r="F87" s="134"/>
    </row>
  </sheetData>
  <mergeCells count="1">
    <mergeCell ref="B3:E3"/>
  </mergeCells>
  <printOptions horizontalCentered="1"/>
  <pageMargins left="0.25" right="0.25" top="0.4" bottom="0.69" header="0.2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view="pageBreakPreview" topLeftCell="A4" zoomScale="60" zoomScaleNormal="60" workbookViewId="0">
      <selection activeCell="B27" sqref="B27"/>
    </sheetView>
  </sheetViews>
  <sheetFormatPr defaultColWidth="11.42578125" defaultRowHeight="12.75" x14ac:dyDescent="0.2"/>
  <cols>
    <col min="1" max="16384" width="11.42578125" style="179"/>
  </cols>
  <sheetData>
    <row r="1" spans="1:8" x14ac:dyDescent="0.2">
      <c r="A1" s="272"/>
      <c r="B1" s="272"/>
      <c r="C1" s="272"/>
      <c r="D1" s="272"/>
      <c r="E1" s="272"/>
      <c r="F1" s="272"/>
      <c r="G1" s="272"/>
      <c r="H1" s="272"/>
    </row>
    <row r="2" spans="1:8" x14ac:dyDescent="0.2">
      <c r="A2" s="272"/>
      <c r="B2" s="272"/>
      <c r="C2" s="272"/>
      <c r="D2" s="272"/>
      <c r="E2" s="272"/>
      <c r="F2" s="272"/>
      <c r="G2" s="272"/>
      <c r="H2" s="272"/>
    </row>
    <row r="3" spans="1:8" x14ac:dyDescent="0.2">
      <c r="A3" s="272"/>
      <c r="B3" s="272"/>
      <c r="C3" s="272"/>
      <c r="D3" s="272"/>
      <c r="E3" s="272"/>
      <c r="F3" s="272"/>
      <c r="G3" s="272"/>
      <c r="H3" s="272"/>
    </row>
    <row r="4" spans="1:8" x14ac:dyDescent="0.2">
      <c r="A4" s="272"/>
      <c r="B4" s="272"/>
      <c r="C4" s="272"/>
      <c r="D4" s="272"/>
      <c r="E4" s="272"/>
      <c r="F4" s="272"/>
      <c r="G4" s="272"/>
      <c r="H4" s="272"/>
    </row>
    <row r="5" spans="1:8" x14ac:dyDescent="0.2">
      <c r="A5" s="272"/>
      <c r="B5" s="272"/>
      <c r="C5" s="272"/>
      <c r="D5" s="272"/>
      <c r="E5" s="272"/>
      <c r="F5" s="272"/>
      <c r="G5" s="272"/>
      <c r="H5" s="272"/>
    </row>
    <row r="6" spans="1:8" x14ac:dyDescent="0.2">
      <c r="A6" s="272"/>
      <c r="B6" s="272"/>
      <c r="C6" s="272"/>
      <c r="D6" s="272"/>
      <c r="E6" s="272"/>
      <c r="F6" s="272"/>
      <c r="G6" s="272"/>
      <c r="H6" s="272"/>
    </row>
    <row r="7" spans="1:8" x14ac:dyDescent="0.2">
      <c r="A7" s="272"/>
      <c r="B7" s="272"/>
      <c r="C7" s="272"/>
      <c r="D7" s="272"/>
      <c r="E7" s="272"/>
      <c r="F7" s="272"/>
      <c r="G7" s="272"/>
      <c r="H7" s="272"/>
    </row>
    <row r="8" spans="1:8" x14ac:dyDescent="0.2">
      <c r="A8" s="272"/>
      <c r="B8" s="272"/>
      <c r="C8" s="272"/>
      <c r="D8" s="272"/>
      <c r="E8" s="272"/>
      <c r="F8" s="272"/>
      <c r="G8" s="272"/>
      <c r="H8" s="272"/>
    </row>
    <row r="9" spans="1:8" x14ac:dyDescent="0.2">
      <c r="A9" s="272"/>
      <c r="B9" s="272"/>
      <c r="C9" s="272"/>
      <c r="D9" s="272"/>
      <c r="E9" s="272"/>
      <c r="F9" s="272"/>
      <c r="G9" s="272"/>
      <c r="H9" s="272"/>
    </row>
    <row r="10" spans="1:8" ht="15.75" x14ac:dyDescent="0.25">
      <c r="A10" s="272"/>
      <c r="B10" s="272"/>
      <c r="C10" s="273" t="s">
        <v>76</v>
      </c>
      <c r="D10" s="274"/>
      <c r="E10" s="273"/>
      <c r="F10" s="272"/>
      <c r="G10" s="272"/>
      <c r="H10" s="272"/>
    </row>
    <row r="11" spans="1:8" x14ac:dyDescent="0.2">
      <c r="A11" s="272"/>
      <c r="B11" s="272"/>
      <c r="C11" s="272"/>
      <c r="D11" s="272"/>
      <c r="E11" s="272"/>
      <c r="F11" s="272"/>
      <c r="G11" s="272"/>
      <c r="H11" s="272"/>
    </row>
    <row r="12" spans="1:8" x14ac:dyDescent="0.2">
      <c r="A12" s="272"/>
      <c r="B12" s="272"/>
      <c r="C12" s="272"/>
      <c r="D12" s="272"/>
      <c r="E12" s="272"/>
      <c r="F12" s="272"/>
      <c r="G12" s="272"/>
      <c r="H12" s="272"/>
    </row>
    <row r="13" spans="1:8" x14ac:dyDescent="0.2">
      <c r="A13" s="272"/>
      <c r="B13" s="272"/>
      <c r="C13" s="272"/>
      <c r="D13" s="272"/>
      <c r="E13" s="272"/>
      <c r="F13" s="272"/>
      <c r="G13" s="272"/>
      <c r="H13" s="272"/>
    </row>
    <row r="14" spans="1:8" x14ac:dyDescent="0.2">
      <c r="A14" s="272"/>
      <c r="B14" s="272"/>
      <c r="C14" s="272"/>
      <c r="D14" s="272"/>
      <c r="E14" s="272"/>
      <c r="F14" s="272"/>
      <c r="G14" s="272"/>
      <c r="H14" s="272"/>
    </row>
    <row r="15" spans="1:8" x14ac:dyDescent="0.2">
      <c r="A15" s="272"/>
      <c r="B15" s="272"/>
      <c r="C15" s="272"/>
      <c r="D15" s="272"/>
      <c r="E15" s="272"/>
      <c r="F15" s="272"/>
      <c r="G15" s="272"/>
      <c r="H15" s="272"/>
    </row>
    <row r="16" spans="1:8" x14ac:dyDescent="0.2">
      <c r="A16" s="272"/>
      <c r="B16" s="272"/>
      <c r="C16" s="272"/>
      <c r="D16" s="272"/>
      <c r="E16" s="272"/>
      <c r="F16" s="272"/>
      <c r="G16" s="272"/>
      <c r="H16" s="272"/>
    </row>
    <row r="17" spans="1:11" ht="46.5" customHeight="1" x14ac:dyDescent="0.2">
      <c r="A17" s="382" t="s">
        <v>269</v>
      </c>
      <c r="B17" s="382"/>
      <c r="C17" s="382"/>
      <c r="D17" s="382"/>
      <c r="E17" s="382"/>
      <c r="F17" s="382"/>
      <c r="G17" s="382"/>
      <c r="H17" s="382"/>
      <c r="K17" s="1" t="s">
        <v>76</v>
      </c>
    </row>
    <row r="18" spans="1:11" ht="46.5" customHeight="1" x14ac:dyDescent="0.2">
      <c r="A18" s="382"/>
      <c r="B18" s="382"/>
      <c r="C18" s="382"/>
      <c r="D18" s="382"/>
      <c r="E18" s="382"/>
      <c r="F18" s="382"/>
      <c r="G18" s="382"/>
      <c r="H18" s="382"/>
    </row>
    <row r="19" spans="1:11" x14ac:dyDescent="0.2">
      <c r="A19" s="272"/>
      <c r="B19" s="272"/>
      <c r="C19" s="272"/>
      <c r="D19" s="272"/>
      <c r="E19" s="272"/>
      <c r="F19" s="272"/>
      <c r="G19" s="272"/>
      <c r="H19" s="272"/>
    </row>
    <row r="20" spans="1:11" x14ac:dyDescent="0.2">
      <c r="A20" s="272"/>
      <c r="B20" s="272"/>
      <c r="C20" s="272"/>
      <c r="D20" s="272"/>
      <c r="E20" s="272"/>
      <c r="F20" s="272"/>
      <c r="G20" s="272"/>
      <c r="H20" s="272"/>
    </row>
    <row r="21" spans="1:11" ht="28.5" x14ac:dyDescent="0.45">
      <c r="A21" s="385" t="s">
        <v>134</v>
      </c>
      <c r="B21" s="385"/>
      <c r="C21" s="385"/>
      <c r="D21" s="385"/>
      <c r="E21" s="385"/>
      <c r="F21" s="385"/>
      <c r="G21" s="385"/>
      <c r="H21" s="385"/>
    </row>
    <row r="22" spans="1:11" x14ac:dyDescent="0.2">
      <c r="A22" s="272"/>
      <c r="B22" s="272"/>
      <c r="C22" s="272"/>
      <c r="D22" s="272"/>
      <c r="E22" s="272"/>
      <c r="F22" s="272"/>
      <c r="G22" s="272"/>
      <c r="H22" s="272"/>
    </row>
    <row r="23" spans="1:11" x14ac:dyDescent="0.2">
      <c r="A23" s="272"/>
      <c r="B23" s="272"/>
      <c r="C23" s="272"/>
      <c r="D23" s="272"/>
      <c r="E23" s="272"/>
      <c r="F23" s="272"/>
      <c r="G23" s="272"/>
      <c r="H23" s="272"/>
    </row>
    <row r="24" spans="1:11" ht="18.75" customHeight="1" x14ac:dyDescent="0.35">
      <c r="A24" s="386" t="s">
        <v>206</v>
      </c>
      <c r="B24" s="386"/>
      <c r="C24" s="386"/>
      <c r="D24" s="386"/>
      <c r="E24" s="386"/>
      <c r="F24" s="386"/>
      <c r="G24" s="386"/>
      <c r="H24" s="386"/>
    </row>
    <row r="25" spans="1:11" x14ac:dyDescent="0.2">
      <c r="A25" s="272"/>
      <c r="B25" s="272"/>
      <c r="C25" s="272"/>
      <c r="D25" s="272"/>
      <c r="E25" s="272"/>
      <c r="F25" s="272"/>
      <c r="G25" s="272"/>
      <c r="H25" s="272"/>
    </row>
    <row r="26" spans="1:11" x14ac:dyDescent="0.2">
      <c r="A26" s="272"/>
      <c r="B26" s="272"/>
      <c r="C26" s="272"/>
      <c r="D26" s="272"/>
      <c r="E26" s="272"/>
      <c r="F26" s="272"/>
      <c r="G26" s="272"/>
      <c r="H26" s="272"/>
    </row>
    <row r="27" spans="1:11" x14ac:dyDescent="0.2">
      <c r="A27" s="272"/>
      <c r="B27" s="272"/>
      <c r="C27" s="272"/>
      <c r="D27" s="272"/>
      <c r="E27" s="272"/>
      <c r="F27" s="272"/>
      <c r="G27" s="272"/>
      <c r="H27" s="272"/>
    </row>
    <row r="28" spans="1:11" ht="27.75" customHeight="1" x14ac:dyDescent="0.35">
      <c r="A28" s="384"/>
      <c r="B28" s="384"/>
      <c r="C28" s="384"/>
      <c r="D28" s="384"/>
      <c r="E28" s="384"/>
      <c r="F28" s="384"/>
      <c r="G28" s="384"/>
      <c r="H28" s="384"/>
    </row>
    <row r="29" spans="1:11" ht="27.75" customHeight="1" x14ac:dyDescent="0.3">
      <c r="A29" s="387"/>
      <c r="B29" s="387"/>
      <c r="C29" s="387"/>
      <c r="D29" s="387"/>
      <c r="E29" s="387"/>
      <c r="F29" s="387"/>
      <c r="G29" s="387"/>
      <c r="H29" s="387"/>
    </row>
    <row r="30" spans="1:11" x14ac:dyDescent="0.2">
      <c r="A30" s="272"/>
      <c r="B30" s="272"/>
      <c r="C30" s="272"/>
      <c r="D30" s="272"/>
      <c r="E30" s="272"/>
      <c r="F30" s="272"/>
      <c r="G30" s="272"/>
      <c r="H30" s="272"/>
    </row>
    <row r="31" spans="1:11" ht="23.25" x14ac:dyDescent="0.35">
      <c r="A31" s="384" t="s">
        <v>138</v>
      </c>
      <c r="B31" s="384"/>
      <c r="C31" s="384"/>
      <c r="D31" s="384"/>
      <c r="E31" s="384"/>
      <c r="F31" s="384"/>
      <c r="G31" s="384"/>
      <c r="H31" s="384"/>
    </row>
    <row r="32" spans="1:11" ht="18.75" x14ac:dyDescent="0.3">
      <c r="A32" s="383">
        <f ca="1">TODAY()</f>
        <v>44212</v>
      </c>
      <c r="B32" s="383"/>
      <c r="C32" s="383"/>
      <c r="D32" s="383"/>
      <c r="E32" s="383"/>
      <c r="F32" s="383"/>
      <c r="G32" s="383"/>
      <c r="H32" s="383"/>
    </row>
    <row r="33" spans="1:8" x14ac:dyDescent="0.2">
      <c r="A33" s="272"/>
      <c r="B33" s="272"/>
      <c r="C33" s="272"/>
      <c r="D33" s="272"/>
      <c r="E33" s="275"/>
      <c r="F33" s="272"/>
      <c r="G33" s="272"/>
      <c r="H33" s="272"/>
    </row>
    <row r="34" spans="1:8" x14ac:dyDescent="0.2">
      <c r="A34" s="272"/>
      <c r="B34" s="272"/>
      <c r="C34" s="272"/>
      <c r="D34" s="272"/>
      <c r="E34" s="272"/>
      <c r="F34" s="272"/>
      <c r="G34" s="272"/>
      <c r="H34" s="272"/>
    </row>
    <row r="35" spans="1:8" x14ac:dyDescent="0.2">
      <c r="A35" s="272"/>
      <c r="B35" s="272"/>
      <c r="C35" s="272"/>
      <c r="D35" s="272"/>
      <c r="E35" s="272"/>
      <c r="F35" s="272"/>
      <c r="G35" s="272"/>
      <c r="H35" s="272"/>
    </row>
    <row r="36" spans="1:8" x14ac:dyDescent="0.2">
      <c r="A36" s="272"/>
      <c r="B36" s="272"/>
      <c r="C36" s="272"/>
      <c r="D36" s="272"/>
      <c r="E36" s="272"/>
      <c r="F36" s="272"/>
      <c r="G36" s="272"/>
      <c r="H36" s="272"/>
    </row>
    <row r="37" spans="1:8" x14ac:dyDescent="0.2">
      <c r="A37" s="272"/>
      <c r="B37" s="272"/>
      <c r="C37" s="272"/>
      <c r="D37" s="272"/>
      <c r="E37" s="272"/>
      <c r="F37" s="272"/>
      <c r="G37" s="272"/>
      <c r="H37" s="272"/>
    </row>
    <row r="38" spans="1:8" x14ac:dyDescent="0.2">
      <c r="A38" s="272"/>
      <c r="B38" s="272"/>
      <c r="C38" s="272"/>
      <c r="D38" s="272"/>
      <c r="E38" s="272"/>
      <c r="F38" s="272"/>
      <c r="G38" s="272"/>
      <c r="H38" s="272"/>
    </row>
    <row r="39" spans="1:8" x14ac:dyDescent="0.2">
      <c r="A39" s="272"/>
      <c r="B39" s="272"/>
      <c r="C39" s="272"/>
      <c r="D39" s="272"/>
      <c r="E39" s="272"/>
      <c r="F39" s="272"/>
      <c r="G39" s="272"/>
      <c r="H39" s="272"/>
    </row>
    <row r="40" spans="1:8" x14ac:dyDescent="0.2">
      <c r="A40" s="272"/>
      <c r="B40" s="272"/>
      <c r="C40" s="272"/>
      <c r="D40" s="272"/>
      <c r="E40" s="272"/>
      <c r="F40" s="272"/>
      <c r="G40" s="272"/>
      <c r="H40" s="272"/>
    </row>
    <row r="41" spans="1:8" x14ac:dyDescent="0.2">
      <c r="A41" s="272"/>
      <c r="B41" s="272"/>
      <c r="C41" s="272"/>
      <c r="D41" s="272"/>
      <c r="E41" s="272"/>
      <c r="F41" s="272"/>
      <c r="G41" s="272"/>
      <c r="H41" s="272"/>
    </row>
    <row r="42" spans="1:8" x14ac:dyDescent="0.2">
      <c r="A42" s="272"/>
      <c r="B42" s="272"/>
      <c r="C42" s="272"/>
      <c r="D42" s="272"/>
      <c r="E42" s="272"/>
      <c r="F42" s="272"/>
      <c r="G42" s="272"/>
      <c r="H42" s="272"/>
    </row>
    <row r="43" spans="1:8" x14ac:dyDescent="0.2">
      <c r="A43" s="272"/>
      <c r="B43" s="272"/>
      <c r="C43" s="272"/>
      <c r="D43" s="272"/>
      <c r="E43" s="272"/>
      <c r="F43" s="272"/>
      <c r="G43" s="272"/>
      <c r="H43" s="272"/>
    </row>
  </sheetData>
  <mergeCells count="7">
    <mergeCell ref="A17:H18"/>
    <mergeCell ref="A32:H32"/>
    <mergeCell ref="A31:H31"/>
    <mergeCell ref="A28:H28"/>
    <mergeCell ref="A21:H21"/>
    <mergeCell ref="A24:H24"/>
    <mergeCell ref="A29:H29"/>
  </mergeCells>
  <phoneticPr fontId="54" type="noConversion"/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opLeftCell="B30" workbookViewId="0">
      <selection activeCell="F68" sqref="F68:Q68"/>
    </sheetView>
  </sheetViews>
  <sheetFormatPr defaultRowHeight="12.75" x14ac:dyDescent="0.2"/>
  <cols>
    <col min="1" max="1" width="39.28515625" style="1" customWidth="1"/>
    <col min="2" max="5" width="11" bestFit="1" customWidth="1"/>
    <col min="6" max="6" width="11" style="376" bestFit="1" customWidth="1"/>
    <col min="7" max="17" width="11" bestFit="1" customWidth="1"/>
  </cols>
  <sheetData>
    <row r="1" spans="1:17" ht="18.75" x14ac:dyDescent="0.3">
      <c r="A1" s="99" t="str">
        <f>'Page 3-Assumptions'!A1</f>
        <v>Colorado Military Academy</v>
      </c>
    </row>
    <row r="2" spans="1:17" x14ac:dyDescent="0.2">
      <c r="A2" s="103" t="s">
        <v>458</v>
      </c>
    </row>
    <row r="3" spans="1:17" x14ac:dyDescent="0.2">
      <c r="A3" s="103"/>
      <c r="B3" s="375">
        <v>43525</v>
      </c>
      <c r="C3" s="375">
        <v>43556</v>
      </c>
      <c r="D3" s="375">
        <v>43586</v>
      </c>
      <c r="E3" s="375">
        <v>43617</v>
      </c>
      <c r="F3" s="375">
        <v>43647</v>
      </c>
      <c r="G3" s="375">
        <v>43678</v>
      </c>
      <c r="H3" s="375">
        <v>43709</v>
      </c>
      <c r="I3" s="375">
        <v>43739</v>
      </c>
      <c r="J3" s="375">
        <v>43770</v>
      </c>
      <c r="K3" s="375">
        <v>43800</v>
      </c>
      <c r="L3" s="375">
        <v>43831</v>
      </c>
      <c r="M3" s="375">
        <v>43862</v>
      </c>
      <c r="N3" s="375">
        <v>43891</v>
      </c>
      <c r="O3" s="375">
        <v>43922</v>
      </c>
      <c r="P3" s="375">
        <v>43952</v>
      </c>
      <c r="Q3" s="375">
        <v>43983</v>
      </c>
    </row>
    <row r="4" spans="1:17" x14ac:dyDescent="0.2">
      <c r="A4" s="67" t="s">
        <v>37</v>
      </c>
    </row>
    <row r="5" spans="1:17" x14ac:dyDescent="0.2">
      <c r="A5" s="104" t="s">
        <v>453</v>
      </c>
      <c r="B5" s="376"/>
      <c r="C5" s="376"/>
      <c r="D5" s="376"/>
      <c r="E5" s="376"/>
      <c r="F5" s="376">
        <f>'16 MO projection'!B10/12</f>
        <v>1000</v>
      </c>
      <c r="G5" s="376">
        <f>F5</f>
        <v>1000</v>
      </c>
      <c r="H5" s="376">
        <f t="shared" ref="H5:Q5" si="0">G5</f>
        <v>1000</v>
      </c>
      <c r="I5" s="376">
        <f t="shared" si="0"/>
        <v>1000</v>
      </c>
      <c r="J5" s="376">
        <f t="shared" si="0"/>
        <v>1000</v>
      </c>
      <c r="K5" s="376">
        <f t="shared" si="0"/>
        <v>1000</v>
      </c>
      <c r="L5" s="376">
        <f t="shared" si="0"/>
        <v>1000</v>
      </c>
      <c r="M5" s="376">
        <f t="shared" si="0"/>
        <v>1000</v>
      </c>
      <c r="N5" s="376">
        <f t="shared" si="0"/>
        <v>1000</v>
      </c>
      <c r="O5" s="376">
        <f t="shared" si="0"/>
        <v>1000</v>
      </c>
      <c r="P5" s="376">
        <f t="shared" si="0"/>
        <v>1000</v>
      </c>
      <c r="Q5" s="376">
        <f t="shared" si="0"/>
        <v>1000</v>
      </c>
    </row>
    <row r="6" spans="1:17" x14ac:dyDescent="0.2">
      <c r="A6" s="104" t="s">
        <v>1</v>
      </c>
      <c r="B6" s="376">
        <v>0</v>
      </c>
      <c r="C6" s="376">
        <v>0</v>
      </c>
      <c r="D6" s="376">
        <v>0</v>
      </c>
      <c r="E6" s="376">
        <v>0</v>
      </c>
      <c r="F6" s="376">
        <f>'16 MO projection'!B11/12</f>
        <v>83.333333333333329</v>
      </c>
      <c r="G6" s="376">
        <f t="shared" ref="G6:Q8" si="1">F6</f>
        <v>83.333333333333329</v>
      </c>
      <c r="H6" s="376">
        <f t="shared" si="1"/>
        <v>83.333333333333329</v>
      </c>
      <c r="I6" s="376">
        <f t="shared" si="1"/>
        <v>83.333333333333329</v>
      </c>
      <c r="J6" s="376">
        <f t="shared" si="1"/>
        <v>83.333333333333329</v>
      </c>
      <c r="K6" s="376">
        <f t="shared" si="1"/>
        <v>83.333333333333329</v>
      </c>
      <c r="L6" s="376">
        <f t="shared" si="1"/>
        <v>83.333333333333329</v>
      </c>
      <c r="M6" s="376">
        <f t="shared" si="1"/>
        <v>83.333333333333329</v>
      </c>
      <c r="N6" s="376">
        <f t="shared" si="1"/>
        <v>83.333333333333329</v>
      </c>
      <c r="O6" s="376">
        <f t="shared" si="1"/>
        <v>83.333333333333329</v>
      </c>
      <c r="P6" s="376">
        <f t="shared" si="1"/>
        <v>83.333333333333329</v>
      </c>
      <c r="Q6" s="376">
        <f t="shared" si="1"/>
        <v>83.333333333333329</v>
      </c>
    </row>
    <row r="7" spans="1:17" hidden="1" x14ac:dyDescent="0.2">
      <c r="A7" s="104" t="s">
        <v>195</v>
      </c>
      <c r="B7" s="376"/>
      <c r="C7" s="376"/>
      <c r="D7" s="376"/>
      <c r="E7" s="376"/>
      <c r="F7" s="376">
        <f>'16 MO projection'!B12/12</f>
        <v>0</v>
      </c>
      <c r="G7" s="376">
        <f t="shared" si="1"/>
        <v>0</v>
      </c>
      <c r="H7" s="376">
        <f t="shared" si="1"/>
        <v>0</v>
      </c>
      <c r="I7" s="376">
        <f t="shared" si="1"/>
        <v>0</v>
      </c>
      <c r="J7" s="376">
        <f t="shared" si="1"/>
        <v>0</v>
      </c>
      <c r="K7" s="376">
        <f t="shared" si="1"/>
        <v>0</v>
      </c>
      <c r="L7" s="376">
        <f t="shared" si="1"/>
        <v>0</v>
      </c>
      <c r="M7" s="376">
        <f t="shared" si="1"/>
        <v>0</v>
      </c>
      <c r="N7" s="376">
        <f t="shared" si="1"/>
        <v>0</v>
      </c>
      <c r="O7" s="376">
        <f t="shared" si="1"/>
        <v>0</v>
      </c>
      <c r="P7" s="376">
        <f t="shared" si="1"/>
        <v>0</v>
      </c>
      <c r="Q7" s="376">
        <f t="shared" si="1"/>
        <v>0</v>
      </c>
    </row>
    <row r="8" spans="1:17" x14ac:dyDescent="0.2">
      <c r="A8" s="104" t="s">
        <v>444</v>
      </c>
      <c r="B8" s="376">
        <v>6164</v>
      </c>
      <c r="C8" s="376">
        <v>6164</v>
      </c>
      <c r="D8" s="376">
        <v>6164</v>
      </c>
      <c r="E8" s="376">
        <v>6164</v>
      </c>
      <c r="F8" s="376">
        <f>'16 MO projection'!B13/12</f>
        <v>14695.821686037956</v>
      </c>
      <c r="G8" s="376">
        <f t="shared" si="1"/>
        <v>14695.821686037956</v>
      </c>
      <c r="H8" s="376">
        <f t="shared" si="1"/>
        <v>14695.821686037956</v>
      </c>
      <c r="I8" s="376">
        <f t="shared" si="1"/>
        <v>14695.821686037956</v>
      </c>
      <c r="J8" s="376">
        <f t="shared" si="1"/>
        <v>14695.821686037956</v>
      </c>
      <c r="K8" s="376">
        <f t="shared" si="1"/>
        <v>14695.821686037956</v>
      </c>
      <c r="L8" s="376">
        <f t="shared" si="1"/>
        <v>14695.821686037956</v>
      </c>
      <c r="M8" s="376">
        <f t="shared" si="1"/>
        <v>14695.821686037956</v>
      </c>
      <c r="N8" s="376">
        <f t="shared" si="1"/>
        <v>14695.821686037956</v>
      </c>
      <c r="O8" s="376">
        <f t="shared" si="1"/>
        <v>14695.821686037956</v>
      </c>
      <c r="P8" s="376">
        <f t="shared" si="1"/>
        <v>14695.821686037956</v>
      </c>
      <c r="Q8" s="376">
        <f t="shared" si="1"/>
        <v>14695.821686037956</v>
      </c>
    </row>
    <row r="9" spans="1:17" x14ac:dyDescent="0.2">
      <c r="A9" s="104" t="s">
        <v>3</v>
      </c>
      <c r="B9" s="376">
        <v>2037</v>
      </c>
      <c r="C9" s="376">
        <v>2037</v>
      </c>
      <c r="D9" s="376">
        <v>2037</v>
      </c>
      <c r="E9" s="376">
        <v>2037</v>
      </c>
      <c r="F9" s="376">
        <f>'16 MO projection'!B14/12</f>
        <v>10996.666666666666</v>
      </c>
      <c r="G9" s="376">
        <f>F9*3</f>
        <v>32990</v>
      </c>
      <c r="H9" s="376">
        <f>G9/1.5</f>
        <v>21993.333333333332</v>
      </c>
      <c r="I9" s="376">
        <f>H9</f>
        <v>21993.333333333332</v>
      </c>
      <c r="J9" s="376">
        <f>I9/2</f>
        <v>10996.666666666666</v>
      </c>
      <c r="K9" s="376">
        <f>J9/2</f>
        <v>5498.333333333333</v>
      </c>
      <c r="L9" s="376">
        <f>K9</f>
        <v>5498.333333333333</v>
      </c>
      <c r="M9" s="376">
        <f>L9</f>
        <v>5498.333333333333</v>
      </c>
      <c r="N9" s="376">
        <f t="shared" ref="N9:P9" si="2">M9</f>
        <v>5498.333333333333</v>
      </c>
      <c r="O9" s="376">
        <f t="shared" si="2"/>
        <v>5498.333333333333</v>
      </c>
      <c r="P9" s="376">
        <f t="shared" si="2"/>
        <v>5498.333333333333</v>
      </c>
      <c r="Q9" s="376">
        <v>0</v>
      </c>
    </row>
    <row r="10" spans="1:17" x14ac:dyDescent="0.2">
      <c r="A10" s="105" t="s">
        <v>4</v>
      </c>
      <c r="B10" s="376">
        <v>0</v>
      </c>
      <c r="C10" s="376">
        <v>0</v>
      </c>
      <c r="D10" s="376">
        <v>0</v>
      </c>
      <c r="E10" s="376">
        <v>0</v>
      </c>
      <c r="F10" s="376">
        <f>'16 MO projection'!B15/12</f>
        <v>166.66666666666666</v>
      </c>
      <c r="G10" s="376">
        <f>F10</f>
        <v>166.66666666666666</v>
      </c>
      <c r="H10" s="376">
        <f t="shared" ref="H10:Q10" si="3">G10</f>
        <v>166.66666666666666</v>
      </c>
      <c r="I10" s="376">
        <f t="shared" si="3"/>
        <v>166.66666666666666</v>
      </c>
      <c r="J10" s="376">
        <f t="shared" si="3"/>
        <v>166.66666666666666</v>
      </c>
      <c r="K10" s="376">
        <f t="shared" si="3"/>
        <v>166.66666666666666</v>
      </c>
      <c r="L10" s="376">
        <f t="shared" si="3"/>
        <v>166.66666666666666</v>
      </c>
      <c r="M10" s="376">
        <f t="shared" si="3"/>
        <v>166.66666666666666</v>
      </c>
      <c r="N10" s="376">
        <f t="shared" si="3"/>
        <v>166.66666666666666</v>
      </c>
      <c r="O10" s="376">
        <f t="shared" si="3"/>
        <v>166.66666666666666</v>
      </c>
      <c r="P10" s="376">
        <f t="shared" si="3"/>
        <v>166.66666666666666</v>
      </c>
      <c r="Q10" s="376">
        <f t="shared" si="3"/>
        <v>166.66666666666666</v>
      </c>
    </row>
    <row r="11" spans="1:17" x14ac:dyDescent="0.2">
      <c r="A11" s="105" t="s">
        <v>5</v>
      </c>
      <c r="B11" s="376">
        <v>12877</v>
      </c>
      <c r="C11" s="376">
        <v>12877</v>
      </c>
      <c r="D11" s="376">
        <v>12877</v>
      </c>
      <c r="E11" s="376">
        <v>12877</v>
      </c>
      <c r="F11" s="376">
        <f>'16 MO projection'!B16/12</f>
        <v>10916.666666666666</v>
      </c>
      <c r="G11" s="376">
        <f t="shared" ref="G11:Q21" si="4">F11</f>
        <v>10916.666666666666</v>
      </c>
      <c r="H11" s="376">
        <f t="shared" si="4"/>
        <v>10916.666666666666</v>
      </c>
      <c r="I11" s="376">
        <f t="shared" si="4"/>
        <v>10916.666666666666</v>
      </c>
      <c r="J11" s="376">
        <f t="shared" si="4"/>
        <v>10916.666666666666</v>
      </c>
      <c r="K11" s="376">
        <f t="shared" si="4"/>
        <v>10916.666666666666</v>
      </c>
      <c r="L11" s="376">
        <f t="shared" si="4"/>
        <v>10916.666666666666</v>
      </c>
      <c r="M11" s="376">
        <f t="shared" si="4"/>
        <v>10916.666666666666</v>
      </c>
      <c r="N11" s="376">
        <f t="shared" si="4"/>
        <v>10916.666666666666</v>
      </c>
      <c r="O11" s="376">
        <f t="shared" si="4"/>
        <v>10916.666666666666</v>
      </c>
      <c r="P11" s="376">
        <f t="shared" si="4"/>
        <v>10916.666666666666</v>
      </c>
      <c r="Q11" s="376">
        <f t="shared" si="4"/>
        <v>10916.666666666666</v>
      </c>
    </row>
    <row r="12" spans="1:17" x14ac:dyDescent="0.2">
      <c r="A12" s="105" t="s">
        <v>232</v>
      </c>
      <c r="B12" s="376">
        <v>4900</v>
      </c>
      <c r="C12" s="376">
        <v>4900</v>
      </c>
      <c r="D12" s="376">
        <v>4900</v>
      </c>
      <c r="E12" s="376">
        <v>4900</v>
      </c>
      <c r="F12" s="376">
        <f>'16 MO projection'!B17/12</f>
        <v>4803.333333333333</v>
      </c>
      <c r="G12" s="376">
        <f t="shared" si="4"/>
        <v>4803.333333333333</v>
      </c>
      <c r="H12" s="376">
        <f t="shared" si="4"/>
        <v>4803.333333333333</v>
      </c>
      <c r="I12" s="376">
        <f t="shared" si="4"/>
        <v>4803.333333333333</v>
      </c>
      <c r="J12" s="376">
        <f t="shared" si="4"/>
        <v>4803.333333333333</v>
      </c>
      <c r="K12" s="376">
        <f t="shared" si="4"/>
        <v>4803.333333333333</v>
      </c>
      <c r="L12" s="376">
        <f t="shared" si="4"/>
        <v>4803.333333333333</v>
      </c>
      <c r="M12" s="376">
        <f t="shared" si="4"/>
        <v>4803.333333333333</v>
      </c>
      <c r="N12" s="376">
        <f t="shared" si="4"/>
        <v>4803.333333333333</v>
      </c>
      <c r="O12" s="376">
        <f t="shared" si="4"/>
        <v>4803.333333333333</v>
      </c>
      <c r="P12" s="376">
        <f t="shared" si="4"/>
        <v>4803.333333333333</v>
      </c>
      <c r="Q12" s="376">
        <f t="shared" si="4"/>
        <v>4803.333333333333</v>
      </c>
    </row>
    <row r="13" spans="1:17" hidden="1" x14ac:dyDescent="0.2">
      <c r="A13" s="104" t="s">
        <v>249</v>
      </c>
      <c r="B13" s="376"/>
      <c r="C13" s="376"/>
      <c r="D13" s="376"/>
      <c r="E13" s="376"/>
      <c r="F13" s="376">
        <f>'16 MO projection'!B18/12</f>
        <v>0</v>
      </c>
      <c r="G13" s="376">
        <f t="shared" si="4"/>
        <v>0</v>
      </c>
      <c r="H13" s="376">
        <f t="shared" si="4"/>
        <v>0</v>
      </c>
      <c r="I13" s="376">
        <f t="shared" si="4"/>
        <v>0</v>
      </c>
      <c r="J13" s="376">
        <f t="shared" si="4"/>
        <v>0</v>
      </c>
      <c r="K13" s="376">
        <f t="shared" si="4"/>
        <v>0</v>
      </c>
      <c r="L13" s="376">
        <f t="shared" si="4"/>
        <v>0</v>
      </c>
      <c r="M13" s="376">
        <f t="shared" si="4"/>
        <v>0</v>
      </c>
      <c r="N13" s="376">
        <f t="shared" si="4"/>
        <v>0</v>
      </c>
      <c r="O13" s="376">
        <f t="shared" si="4"/>
        <v>0</v>
      </c>
      <c r="P13" s="376">
        <f t="shared" si="4"/>
        <v>0</v>
      </c>
      <c r="Q13" s="376">
        <f t="shared" si="4"/>
        <v>0</v>
      </c>
    </row>
    <row r="14" spans="1:17" x14ac:dyDescent="0.2">
      <c r="A14" s="104" t="s">
        <v>188</v>
      </c>
      <c r="B14" s="376">
        <v>120</v>
      </c>
      <c r="C14" s="376">
        <v>120</v>
      </c>
      <c r="D14" s="376">
        <v>120</v>
      </c>
      <c r="E14" s="376">
        <v>120</v>
      </c>
      <c r="F14" s="376">
        <f>'16 MO projection'!B19/12</f>
        <v>107.16666666666667</v>
      </c>
      <c r="G14" s="376">
        <f t="shared" si="4"/>
        <v>107.16666666666667</v>
      </c>
      <c r="H14" s="376">
        <f t="shared" si="4"/>
        <v>107.16666666666667</v>
      </c>
      <c r="I14" s="376">
        <f t="shared" si="4"/>
        <v>107.16666666666667</v>
      </c>
      <c r="J14" s="376">
        <f t="shared" si="4"/>
        <v>107.16666666666667</v>
      </c>
      <c r="K14" s="376">
        <f t="shared" si="4"/>
        <v>107.16666666666667</v>
      </c>
      <c r="L14" s="376">
        <f t="shared" si="4"/>
        <v>107.16666666666667</v>
      </c>
      <c r="M14" s="376">
        <f t="shared" si="4"/>
        <v>107.16666666666667</v>
      </c>
      <c r="N14" s="376">
        <f t="shared" si="4"/>
        <v>107.16666666666667</v>
      </c>
      <c r="O14" s="376">
        <f t="shared" si="4"/>
        <v>107.16666666666667</v>
      </c>
      <c r="P14" s="376">
        <f t="shared" si="4"/>
        <v>107.16666666666667</v>
      </c>
      <c r="Q14" s="376">
        <f t="shared" si="4"/>
        <v>107.16666666666667</v>
      </c>
    </row>
    <row r="15" spans="1:17" hidden="1" x14ac:dyDescent="0.2">
      <c r="A15" s="104" t="s">
        <v>196</v>
      </c>
      <c r="B15" s="376"/>
      <c r="C15" s="376"/>
      <c r="D15" s="376"/>
      <c r="E15" s="376"/>
      <c r="F15" s="376">
        <f>'16 MO projection'!B20/12</f>
        <v>0</v>
      </c>
      <c r="G15" s="376">
        <f t="shared" si="4"/>
        <v>0</v>
      </c>
      <c r="H15" s="376">
        <f t="shared" si="4"/>
        <v>0</v>
      </c>
      <c r="I15" s="376">
        <f t="shared" si="4"/>
        <v>0</v>
      </c>
      <c r="J15" s="376">
        <f t="shared" si="4"/>
        <v>0</v>
      </c>
      <c r="K15" s="376">
        <f t="shared" si="4"/>
        <v>0</v>
      </c>
      <c r="L15" s="376">
        <f t="shared" si="4"/>
        <v>0</v>
      </c>
      <c r="M15" s="376">
        <f t="shared" si="4"/>
        <v>0</v>
      </c>
      <c r="N15" s="376">
        <f t="shared" si="4"/>
        <v>0</v>
      </c>
      <c r="O15" s="376">
        <f t="shared" si="4"/>
        <v>0</v>
      </c>
      <c r="P15" s="376">
        <f t="shared" si="4"/>
        <v>0</v>
      </c>
      <c r="Q15" s="376">
        <f t="shared" si="4"/>
        <v>0</v>
      </c>
    </row>
    <row r="16" spans="1:17" x14ac:dyDescent="0.2">
      <c r="A16" s="104" t="s">
        <v>179</v>
      </c>
      <c r="B16" s="376">
        <v>8590</v>
      </c>
      <c r="C16" s="376">
        <v>8590</v>
      </c>
      <c r="D16" s="376">
        <v>8590</v>
      </c>
      <c r="E16" s="376">
        <v>8590</v>
      </c>
      <c r="F16" s="376">
        <f>'16 MO projection'!B21/12</f>
        <v>6735.416666666667</v>
      </c>
      <c r="G16" s="376">
        <f t="shared" si="4"/>
        <v>6735.416666666667</v>
      </c>
      <c r="H16" s="376">
        <f t="shared" si="4"/>
        <v>6735.416666666667</v>
      </c>
      <c r="I16" s="376">
        <f t="shared" si="4"/>
        <v>6735.416666666667</v>
      </c>
      <c r="J16" s="376">
        <f t="shared" si="4"/>
        <v>6735.416666666667</v>
      </c>
      <c r="K16" s="376">
        <f t="shared" si="4"/>
        <v>6735.416666666667</v>
      </c>
      <c r="L16" s="376">
        <f t="shared" si="4"/>
        <v>6735.416666666667</v>
      </c>
      <c r="M16" s="376">
        <f t="shared" si="4"/>
        <v>6735.416666666667</v>
      </c>
      <c r="N16" s="376">
        <f t="shared" si="4"/>
        <v>6735.416666666667</v>
      </c>
      <c r="O16" s="376">
        <f t="shared" si="4"/>
        <v>6735.416666666667</v>
      </c>
      <c r="P16" s="376">
        <f t="shared" si="4"/>
        <v>6735.416666666667</v>
      </c>
      <c r="Q16" s="376">
        <f t="shared" si="4"/>
        <v>6735.416666666667</v>
      </c>
    </row>
    <row r="17" spans="1:17" x14ac:dyDescent="0.2">
      <c r="A17" s="104" t="s">
        <v>233</v>
      </c>
      <c r="B17" s="376">
        <v>11546</v>
      </c>
      <c r="C17" s="376">
        <v>11546</v>
      </c>
      <c r="D17" s="376">
        <v>11546</v>
      </c>
      <c r="E17" s="376">
        <v>11546</v>
      </c>
      <c r="F17" s="376">
        <f>'16 MO projection'!B22/12</f>
        <v>6893.416666666667</v>
      </c>
      <c r="G17" s="376">
        <f t="shared" si="4"/>
        <v>6893.416666666667</v>
      </c>
      <c r="H17" s="376">
        <f t="shared" si="4"/>
        <v>6893.416666666667</v>
      </c>
      <c r="I17" s="376">
        <f t="shared" si="4"/>
        <v>6893.416666666667</v>
      </c>
      <c r="J17" s="376">
        <f t="shared" si="4"/>
        <v>6893.416666666667</v>
      </c>
      <c r="K17" s="376">
        <f t="shared" si="4"/>
        <v>6893.416666666667</v>
      </c>
      <c r="L17" s="376">
        <f t="shared" si="4"/>
        <v>6893.416666666667</v>
      </c>
      <c r="M17" s="376">
        <f t="shared" si="4"/>
        <v>6893.416666666667</v>
      </c>
      <c r="N17" s="376">
        <f t="shared" si="4"/>
        <v>6893.416666666667</v>
      </c>
      <c r="O17" s="376">
        <f t="shared" si="4"/>
        <v>6893.416666666667</v>
      </c>
      <c r="P17" s="376">
        <f t="shared" si="4"/>
        <v>6893.416666666667</v>
      </c>
      <c r="Q17" s="376">
        <f t="shared" si="4"/>
        <v>6893.416666666667</v>
      </c>
    </row>
    <row r="18" spans="1:17" x14ac:dyDescent="0.2">
      <c r="A18" s="104" t="s">
        <v>180</v>
      </c>
      <c r="B18" s="376">
        <v>0</v>
      </c>
      <c r="C18" s="376">
        <v>0</v>
      </c>
      <c r="D18" s="376">
        <v>0</v>
      </c>
      <c r="E18" s="376">
        <v>0</v>
      </c>
      <c r="F18" s="376">
        <f>'16 MO projection'!B23/12</f>
        <v>131.54166666666666</v>
      </c>
      <c r="G18" s="376">
        <f t="shared" si="4"/>
        <v>131.54166666666666</v>
      </c>
      <c r="H18" s="376">
        <f t="shared" si="4"/>
        <v>131.54166666666666</v>
      </c>
      <c r="I18" s="376">
        <f t="shared" si="4"/>
        <v>131.54166666666666</v>
      </c>
      <c r="J18" s="376">
        <f t="shared" si="4"/>
        <v>131.54166666666666</v>
      </c>
      <c r="K18" s="376">
        <f t="shared" si="4"/>
        <v>131.54166666666666</v>
      </c>
      <c r="L18" s="376">
        <f t="shared" si="4"/>
        <v>131.54166666666666</v>
      </c>
      <c r="M18" s="376">
        <f t="shared" si="4"/>
        <v>131.54166666666666</v>
      </c>
      <c r="N18" s="376">
        <f t="shared" si="4"/>
        <v>131.54166666666666</v>
      </c>
      <c r="O18" s="376">
        <f t="shared" si="4"/>
        <v>131.54166666666666</v>
      </c>
      <c r="P18" s="376">
        <f t="shared" si="4"/>
        <v>131.54166666666666</v>
      </c>
      <c r="Q18" s="376">
        <f t="shared" si="4"/>
        <v>131.54166666666666</v>
      </c>
    </row>
    <row r="19" spans="1:17" hidden="1" x14ac:dyDescent="0.2">
      <c r="A19" s="104" t="s">
        <v>197</v>
      </c>
      <c r="B19" s="376"/>
      <c r="C19" s="376"/>
      <c r="D19" s="376"/>
      <c r="E19" s="376"/>
      <c r="F19" s="376">
        <f>'16 MO projection'!B24/12</f>
        <v>0</v>
      </c>
      <c r="G19" s="376">
        <f t="shared" si="4"/>
        <v>0</v>
      </c>
      <c r="H19" s="376">
        <f t="shared" si="4"/>
        <v>0</v>
      </c>
      <c r="I19" s="376">
        <f t="shared" si="4"/>
        <v>0</v>
      </c>
      <c r="J19" s="376">
        <f t="shared" si="4"/>
        <v>0</v>
      </c>
      <c r="K19" s="376">
        <f t="shared" si="4"/>
        <v>0</v>
      </c>
      <c r="L19" s="376">
        <f t="shared" si="4"/>
        <v>0</v>
      </c>
      <c r="M19" s="376">
        <f t="shared" si="4"/>
        <v>0</v>
      </c>
      <c r="N19" s="376">
        <f t="shared" si="4"/>
        <v>0</v>
      </c>
      <c r="O19" s="376">
        <f t="shared" si="4"/>
        <v>0</v>
      </c>
      <c r="P19" s="376">
        <f t="shared" si="4"/>
        <v>0</v>
      </c>
      <c r="Q19" s="376">
        <f t="shared" si="4"/>
        <v>0</v>
      </c>
    </row>
    <row r="20" spans="1:17" x14ac:dyDescent="0.2">
      <c r="A20" s="104" t="s">
        <v>181</v>
      </c>
      <c r="B20" s="376">
        <v>0</v>
      </c>
      <c r="C20" s="376">
        <v>0</v>
      </c>
      <c r="D20" s="376">
        <v>170427.5</v>
      </c>
      <c r="E20" s="376">
        <v>170427.5</v>
      </c>
      <c r="F20" s="376">
        <f>'16 MO projection'!B25/12</f>
        <v>0</v>
      </c>
      <c r="G20" s="376">
        <f t="shared" si="4"/>
        <v>0</v>
      </c>
      <c r="H20" s="376">
        <f t="shared" si="4"/>
        <v>0</v>
      </c>
      <c r="I20" s="376">
        <f t="shared" si="4"/>
        <v>0</v>
      </c>
      <c r="J20" s="376">
        <f t="shared" si="4"/>
        <v>0</v>
      </c>
      <c r="K20" s="376">
        <f t="shared" si="4"/>
        <v>0</v>
      </c>
      <c r="L20" s="376">
        <f t="shared" si="4"/>
        <v>0</v>
      </c>
      <c r="M20" s="376">
        <f t="shared" si="4"/>
        <v>0</v>
      </c>
      <c r="N20" s="376">
        <f t="shared" si="4"/>
        <v>0</v>
      </c>
      <c r="O20" s="376">
        <f t="shared" si="4"/>
        <v>0</v>
      </c>
      <c r="P20" s="376">
        <f t="shared" si="4"/>
        <v>0</v>
      </c>
      <c r="Q20" s="376">
        <f t="shared" si="4"/>
        <v>0</v>
      </c>
    </row>
    <row r="21" spans="1:17" x14ac:dyDescent="0.2">
      <c r="A21" s="104" t="s">
        <v>131</v>
      </c>
      <c r="B21" s="376">
        <v>262744</v>
      </c>
      <c r="C21" s="376">
        <v>262744</v>
      </c>
      <c r="D21" s="376">
        <v>262744</v>
      </c>
      <c r="E21" s="376">
        <v>262744</v>
      </c>
      <c r="F21" s="376">
        <f>'16 MO projection'!B26/12</f>
        <v>360250</v>
      </c>
      <c r="G21" s="376">
        <f t="shared" si="4"/>
        <v>360250</v>
      </c>
      <c r="H21" s="376">
        <f t="shared" si="4"/>
        <v>360250</v>
      </c>
      <c r="I21" s="376">
        <f t="shared" si="4"/>
        <v>360250</v>
      </c>
      <c r="J21" s="376">
        <f t="shared" si="4"/>
        <v>360250</v>
      </c>
      <c r="K21" s="376">
        <f t="shared" si="4"/>
        <v>360250</v>
      </c>
      <c r="L21" s="376">
        <f t="shared" si="4"/>
        <v>360250</v>
      </c>
      <c r="M21" s="376">
        <f t="shared" si="4"/>
        <v>360250</v>
      </c>
      <c r="N21" s="376">
        <f t="shared" si="4"/>
        <v>360250</v>
      </c>
      <c r="O21" s="376">
        <f t="shared" si="4"/>
        <v>360250</v>
      </c>
      <c r="P21" s="376">
        <f t="shared" si="4"/>
        <v>360250</v>
      </c>
      <c r="Q21" s="376">
        <f t="shared" si="4"/>
        <v>360250</v>
      </c>
    </row>
    <row r="22" spans="1:17" hidden="1" x14ac:dyDescent="0.2">
      <c r="A22" s="264" t="s">
        <v>182</v>
      </c>
      <c r="B22" s="376"/>
      <c r="C22" s="376"/>
      <c r="D22" s="376"/>
      <c r="E22" s="376"/>
      <c r="F22" s="376">
        <f>'16 MO projection'!B27/12</f>
        <v>0</v>
      </c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</row>
    <row r="23" spans="1:17" x14ac:dyDescent="0.2">
      <c r="A23" s="218" t="s">
        <v>38</v>
      </c>
      <c r="B23" s="377">
        <f t="shared" ref="B23:E23" si="5">SUM(B5:B22)</f>
        <v>308978</v>
      </c>
      <c r="C23" s="377">
        <f t="shared" si="5"/>
        <v>308978</v>
      </c>
      <c r="D23" s="377">
        <f t="shared" si="5"/>
        <v>479405.5</v>
      </c>
      <c r="E23" s="377">
        <f t="shared" si="5"/>
        <v>479405.5</v>
      </c>
      <c r="F23" s="377">
        <f>SUM(F5:F22)</f>
        <v>416780.0300193713</v>
      </c>
      <c r="G23" s="377">
        <f t="shared" ref="G23:Q23" si="6">SUM(G5:G22)</f>
        <v>438773.36335270462</v>
      </c>
      <c r="H23" s="377">
        <f t="shared" si="6"/>
        <v>427776.69668603793</v>
      </c>
      <c r="I23" s="377">
        <f t="shared" si="6"/>
        <v>427776.69668603793</v>
      </c>
      <c r="J23" s="377">
        <f t="shared" si="6"/>
        <v>416780.0300193713</v>
      </c>
      <c r="K23" s="377">
        <f t="shared" si="6"/>
        <v>411281.69668603793</v>
      </c>
      <c r="L23" s="377">
        <f t="shared" si="6"/>
        <v>411281.69668603793</v>
      </c>
      <c r="M23" s="377">
        <f t="shared" si="6"/>
        <v>411281.69668603793</v>
      </c>
      <c r="N23" s="377">
        <f t="shared" si="6"/>
        <v>411281.69668603793</v>
      </c>
      <c r="O23" s="377">
        <f t="shared" si="6"/>
        <v>411281.69668603793</v>
      </c>
      <c r="P23" s="377">
        <f t="shared" si="6"/>
        <v>411281.69668603793</v>
      </c>
      <c r="Q23" s="377">
        <f t="shared" si="6"/>
        <v>405783.36335270462</v>
      </c>
    </row>
    <row r="24" spans="1:17" x14ac:dyDescent="0.2">
      <c r="A24" s="123"/>
      <c r="B24" s="376"/>
      <c r="C24" s="376"/>
      <c r="D24" s="376"/>
      <c r="E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</row>
    <row r="25" spans="1:17" x14ac:dyDescent="0.2">
      <c r="A25" s="124" t="s">
        <v>39</v>
      </c>
      <c r="B25" s="376"/>
      <c r="C25" s="376"/>
      <c r="D25" s="376"/>
      <c r="E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</row>
    <row r="26" spans="1:17" x14ac:dyDescent="0.2">
      <c r="A26" s="104" t="s">
        <v>93</v>
      </c>
      <c r="B26" s="376">
        <v>206585</v>
      </c>
      <c r="C26" s="376">
        <v>206585</v>
      </c>
      <c r="D26" s="376">
        <v>206585</v>
      </c>
      <c r="E26" s="376">
        <v>206585</v>
      </c>
      <c r="F26" s="376">
        <f>'16 MO projection'!B31/12</f>
        <v>200156.66666666666</v>
      </c>
      <c r="G26" s="376">
        <f>F26</f>
        <v>200156.66666666666</v>
      </c>
      <c r="H26" s="376">
        <f t="shared" ref="H26:Q26" si="7">G26</f>
        <v>200156.66666666666</v>
      </c>
      <c r="I26" s="376">
        <f t="shared" si="7"/>
        <v>200156.66666666666</v>
      </c>
      <c r="J26" s="376">
        <f t="shared" si="7"/>
        <v>200156.66666666666</v>
      </c>
      <c r="K26" s="376">
        <f t="shared" si="7"/>
        <v>200156.66666666666</v>
      </c>
      <c r="L26" s="376">
        <f t="shared" si="7"/>
        <v>200156.66666666666</v>
      </c>
      <c r="M26" s="376">
        <f t="shared" si="7"/>
        <v>200156.66666666666</v>
      </c>
      <c r="N26" s="376">
        <f t="shared" si="7"/>
        <v>200156.66666666666</v>
      </c>
      <c r="O26" s="376">
        <f t="shared" si="7"/>
        <v>200156.66666666666</v>
      </c>
      <c r="P26" s="376">
        <f t="shared" si="7"/>
        <v>200156.66666666666</v>
      </c>
      <c r="Q26" s="376">
        <f t="shared" si="7"/>
        <v>200156.66666666666</v>
      </c>
    </row>
    <row r="27" spans="1:17" x14ac:dyDescent="0.2">
      <c r="A27" s="104" t="s">
        <v>6</v>
      </c>
      <c r="B27" s="376">
        <v>2000</v>
      </c>
      <c r="C27" s="376">
        <v>2000</v>
      </c>
      <c r="D27" s="376">
        <v>2000</v>
      </c>
      <c r="E27" s="376">
        <v>2000</v>
      </c>
      <c r="F27" s="376">
        <f>'16 MO projection'!B32/12</f>
        <v>2416.6666666666665</v>
      </c>
      <c r="G27" s="376">
        <f t="shared" ref="G27:Q67" si="8">F27</f>
        <v>2416.6666666666665</v>
      </c>
      <c r="H27" s="376">
        <f t="shared" si="8"/>
        <v>2416.6666666666665</v>
      </c>
      <c r="I27" s="376">
        <f t="shared" si="8"/>
        <v>2416.6666666666665</v>
      </c>
      <c r="J27" s="376">
        <f t="shared" si="8"/>
        <v>2416.6666666666665</v>
      </c>
      <c r="K27" s="376">
        <f t="shared" si="8"/>
        <v>2416.6666666666665</v>
      </c>
      <c r="L27" s="376">
        <f t="shared" si="8"/>
        <v>2416.6666666666665</v>
      </c>
      <c r="M27" s="376">
        <f t="shared" si="8"/>
        <v>2416.6666666666665</v>
      </c>
      <c r="N27" s="376">
        <f t="shared" si="8"/>
        <v>2416.6666666666665</v>
      </c>
      <c r="O27" s="376">
        <f t="shared" si="8"/>
        <v>2416.6666666666665</v>
      </c>
      <c r="P27" s="376">
        <f t="shared" si="8"/>
        <v>2416.6666666666665</v>
      </c>
      <c r="Q27" s="376">
        <f t="shared" si="8"/>
        <v>2416.6666666666665</v>
      </c>
    </row>
    <row r="28" spans="1:17" x14ac:dyDescent="0.2">
      <c r="A28" s="104" t="s">
        <v>7</v>
      </c>
      <c r="B28" s="376">
        <v>7667</v>
      </c>
      <c r="C28" s="376">
        <v>7667</v>
      </c>
      <c r="D28" s="376">
        <v>7667</v>
      </c>
      <c r="E28" s="376">
        <v>7667</v>
      </c>
      <c r="F28" s="376">
        <f>'16 MO projection'!B33/12</f>
        <v>2937.313333333333</v>
      </c>
      <c r="G28" s="376">
        <f t="shared" si="8"/>
        <v>2937.313333333333</v>
      </c>
      <c r="H28" s="376">
        <f t="shared" si="8"/>
        <v>2937.313333333333</v>
      </c>
      <c r="I28" s="376">
        <f t="shared" si="8"/>
        <v>2937.313333333333</v>
      </c>
      <c r="J28" s="376">
        <f t="shared" si="8"/>
        <v>2937.313333333333</v>
      </c>
      <c r="K28" s="376">
        <f t="shared" si="8"/>
        <v>2937.313333333333</v>
      </c>
      <c r="L28" s="376">
        <f t="shared" si="8"/>
        <v>2937.313333333333</v>
      </c>
      <c r="M28" s="376">
        <f t="shared" si="8"/>
        <v>2937.313333333333</v>
      </c>
      <c r="N28" s="376">
        <f t="shared" si="8"/>
        <v>2937.313333333333</v>
      </c>
      <c r="O28" s="376">
        <f t="shared" si="8"/>
        <v>2937.313333333333</v>
      </c>
      <c r="P28" s="376">
        <f t="shared" si="8"/>
        <v>2937.313333333333</v>
      </c>
      <c r="Q28" s="376">
        <f t="shared" si="8"/>
        <v>2937.313333333333</v>
      </c>
    </row>
    <row r="29" spans="1:17" hidden="1" x14ac:dyDescent="0.2">
      <c r="A29" s="104" t="s">
        <v>8</v>
      </c>
      <c r="B29" s="376"/>
      <c r="C29" s="376"/>
      <c r="D29" s="376"/>
      <c r="E29" s="376"/>
      <c r="F29" s="376">
        <f>'16 MO projection'!B34/12</f>
        <v>0</v>
      </c>
      <c r="G29" s="376">
        <f t="shared" si="8"/>
        <v>0</v>
      </c>
      <c r="H29" s="376">
        <f t="shared" si="8"/>
        <v>0</v>
      </c>
      <c r="I29" s="376">
        <f t="shared" si="8"/>
        <v>0</v>
      </c>
      <c r="J29" s="376">
        <f t="shared" si="8"/>
        <v>0</v>
      </c>
      <c r="K29" s="376">
        <f t="shared" si="8"/>
        <v>0</v>
      </c>
      <c r="L29" s="376">
        <f t="shared" si="8"/>
        <v>0</v>
      </c>
      <c r="M29" s="376">
        <f t="shared" si="8"/>
        <v>0</v>
      </c>
      <c r="N29" s="376">
        <f t="shared" si="8"/>
        <v>0</v>
      </c>
      <c r="O29" s="376">
        <f t="shared" si="8"/>
        <v>0</v>
      </c>
      <c r="P29" s="376">
        <f t="shared" si="8"/>
        <v>0</v>
      </c>
      <c r="Q29" s="376">
        <f t="shared" si="8"/>
        <v>0</v>
      </c>
    </row>
    <row r="30" spans="1:17" x14ac:dyDescent="0.2">
      <c r="A30" s="104" t="s">
        <v>189</v>
      </c>
      <c r="B30" s="376">
        <v>41000</v>
      </c>
      <c r="C30" s="376">
        <v>41000</v>
      </c>
      <c r="D30" s="376">
        <v>41000</v>
      </c>
      <c r="E30" s="376">
        <v>41000</v>
      </c>
      <c r="F30" s="376">
        <f>'16 MO projection'!B35/12</f>
        <v>41324.959999999999</v>
      </c>
      <c r="G30" s="376">
        <f t="shared" si="8"/>
        <v>41324.959999999999</v>
      </c>
      <c r="H30" s="376">
        <f t="shared" si="8"/>
        <v>41324.959999999999</v>
      </c>
      <c r="I30" s="376">
        <f t="shared" si="8"/>
        <v>41324.959999999999</v>
      </c>
      <c r="J30" s="376">
        <f t="shared" si="8"/>
        <v>41324.959999999999</v>
      </c>
      <c r="K30" s="376">
        <f t="shared" si="8"/>
        <v>41324.959999999999</v>
      </c>
      <c r="L30" s="376">
        <f t="shared" si="8"/>
        <v>41324.959999999999</v>
      </c>
      <c r="M30" s="376">
        <f t="shared" si="8"/>
        <v>41324.959999999999</v>
      </c>
      <c r="N30" s="376">
        <f t="shared" si="8"/>
        <v>41324.959999999999</v>
      </c>
      <c r="O30" s="376">
        <f t="shared" si="8"/>
        <v>41324.959999999999</v>
      </c>
      <c r="P30" s="376">
        <f t="shared" si="8"/>
        <v>41324.959999999999</v>
      </c>
      <c r="Q30" s="376">
        <f t="shared" si="8"/>
        <v>41324.959999999999</v>
      </c>
    </row>
    <row r="31" spans="1:17" x14ac:dyDescent="0.2">
      <c r="A31" s="104" t="s">
        <v>9</v>
      </c>
      <c r="B31" s="376">
        <v>7357</v>
      </c>
      <c r="C31" s="376">
        <v>7357</v>
      </c>
      <c r="D31" s="376">
        <v>7357</v>
      </c>
      <c r="E31" s="376">
        <v>7357</v>
      </c>
      <c r="F31" s="376">
        <f>'16 MO projection'!B36/12</f>
        <v>13359.654</v>
      </c>
      <c r="G31" s="376">
        <f t="shared" si="8"/>
        <v>13359.654</v>
      </c>
      <c r="H31" s="376">
        <f t="shared" si="8"/>
        <v>13359.654</v>
      </c>
      <c r="I31" s="376">
        <f t="shared" si="8"/>
        <v>13359.654</v>
      </c>
      <c r="J31" s="376">
        <f t="shared" si="8"/>
        <v>13359.654</v>
      </c>
      <c r="K31" s="376">
        <f t="shared" si="8"/>
        <v>13359.654</v>
      </c>
      <c r="L31" s="376">
        <f t="shared" si="8"/>
        <v>13359.654</v>
      </c>
      <c r="M31" s="376">
        <f t="shared" si="8"/>
        <v>13359.654</v>
      </c>
      <c r="N31" s="376">
        <f t="shared" si="8"/>
        <v>13359.654</v>
      </c>
      <c r="O31" s="376">
        <f t="shared" si="8"/>
        <v>13359.654</v>
      </c>
      <c r="P31" s="376">
        <f t="shared" si="8"/>
        <v>13359.654</v>
      </c>
      <c r="Q31" s="376">
        <f t="shared" si="8"/>
        <v>13359.654</v>
      </c>
    </row>
    <row r="32" spans="1:17" x14ac:dyDescent="0.2">
      <c r="A32" s="104" t="s">
        <v>10</v>
      </c>
      <c r="B32" s="376">
        <v>700</v>
      </c>
      <c r="C32" s="376">
        <v>700</v>
      </c>
      <c r="D32" s="376">
        <v>700</v>
      </c>
      <c r="E32" s="376">
        <v>700</v>
      </c>
      <c r="F32" s="376">
        <f>'16 MO projection'!B37/12</f>
        <v>678.58560000000011</v>
      </c>
      <c r="G32" s="376">
        <f t="shared" si="8"/>
        <v>678.58560000000011</v>
      </c>
      <c r="H32" s="376">
        <f t="shared" si="8"/>
        <v>678.58560000000011</v>
      </c>
      <c r="I32" s="376">
        <f t="shared" si="8"/>
        <v>678.58560000000011</v>
      </c>
      <c r="J32" s="376">
        <f t="shared" si="8"/>
        <v>678.58560000000011</v>
      </c>
      <c r="K32" s="376">
        <f t="shared" si="8"/>
        <v>678.58560000000011</v>
      </c>
      <c r="L32" s="376">
        <f t="shared" si="8"/>
        <v>678.58560000000011</v>
      </c>
      <c r="M32" s="376">
        <f t="shared" si="8"/>
        <v>678.58560000000011</v>
      </c>
      <c r="N32" s="376">
        <f t="shared" si="8"/>
        <v>678.58560000000011</v>
      </c>
      <c r="O32" s="376">
        <f t="shared" si="8"/>
        <v>678.58560000000011</v>
      </c>
      <c r="P32" s="376">
        <f t="shared" si="8"/>
        <v>678.58560000000011</v>
      </c>
      <c r="Q32" s="376">
        <f t="shared" si="8"/>
        <v>678.58560000000011</v>
      </c>
    </row>
    <row r="33" spans="1:17" x14ac:dyDescent="0.2">
      <c r="A33" s="104" t="s">
        <v>11</v>
      </c>
      <c r="B33" s="376">
        <v>249</v>
      </c>
      <c r="C33" s="376">
        <v>249</v>
      </c>
      <c r="D33" s="376">
        <v>249</v>
      </c>
      <c r="E33" s="376">
        <v>249</v>
      </c>
      <c r="F33" s="376">
        <f>'16 MO projection'!B38/12</f>
        <v>247.5</v>
      </c>
      <c r="G33" s="376">
        <f t="shared" si="8"/>
        <v>247.5</v>
      </c>
      <c r="H33" s="376">
        <f t="shared" si="8"/>
        <v>247.5</v>
      </c>
      <c r="I33" s="376">
        <f t="shared" si="8"/>
        <v>247.5</v>
      </c>
      <c r="J33" s="376">
        <f t="shared" si="8"/>
        <v>247.5</v>
      </c>
      <c r="K33" s="376">
        <f t="shared" si="8"/>
        <v>247.5</v>
      </c>
      <c r="L33" s="376">
        <f t="shared" si="8"/>
        <v>247.5</v>
      </c>
      <c r="M33" s="376">
        <f t="shared" si="8"/>
        <v>247.5</v>
      </c>
      <c r="N33" s="376">
        <f t="shared" si="8"/>
        <v>247.5</v>
      </c>
      <c r="O33" s="376">
        <f t="shared" si="8"/>
        <v>247.5</v>
      </c>
      <c r="P33" s="376">
        <f t="shared" si="8"/>
        <v>247.5</v>
      </c>
      <c r="Q33" s="376">
        <f t="shared" si="8"/>
        <v>247.5</v>
      </c>
    </row>
    <row r="34" spans="1:17" hidden="1" x14ac:dyDescent="0.2">
      <c r="A34" s="104" t="s">
        <v>194</v>
      </c>
      <c r="B34" s="376"/>
      <c r="C34" s="376"/>
      <c r="D34" s="376"/>
      <c r="E34" s="376"/>
      <c r="F34" s="376">
        <f>'16 MO projection'!B39/12</f>
        <v>0</v>
      </c>
      <c r="G34" s="376">
        <f t="shared" si="8"/>
        <v>0</v>
      </c>
      <c r="H34" s="376">
        <f t="shared" si="8"/>
        <v>0</v>
      </c>
      <c r="I34" s="376">
        <f t="shared" si="8"/>
        <v>0</v>
      </c>
      <c r="J34" s="376">
        <f t="shared" si="8"/>
        <v>0</v>
      </c>
      <c r="K34" s="376">
        <f t="shared" si="8"/>
        <v>0</v>
      </c>
      <c r="L34" s="376">
        <f t="shared" si="8"/>
        <v>0</v>
      </c>
      <c r="M34" s="376">
        <f t="shared" si="8"/>
        <v>0</v>
      </c>
      <c r="N34" s="376">
        <f t="shared" si="8"/>
        <v>0</v>
      </c>
      <c r="O34" s="376">
        <f t="shared" si="8"/>
        <v>0</v>
      </c>
      <c r="P34" s="376">
        <f t="shared" si="8"/>
        <v>0</v>
      </c>
      <c r="Q34" s="376">
        <f t="shared" si="8"/>
        <v>0</v>
      </c>
    </row>
    <row r="35" spans="1:17" x14ac:dyDescent="0.2">
      <c r="A35" s="104" t="s">
        <v>119</v>
      </c>
      <c r="B35" s="376">
        <v>200</v>
      </c>
      <c r="C35" s="376">
        <v>200</v>
      </c>
      <c r="D35" s="376">
        <v>200</v>
      </c>
      <c r="E35" s="376">
        <v>200</v>
      </c>
      <c r="F35" s="376">
        <f>'16 MO projection'!B40/12</f>
        <v>225</v>
      </c>
      <c r="G35" s="376">
        <f t="shared" si="8"/>
        <v>225</v>
      </c>
      <c r="H35" s="376">
        <f t="shared" si="8"/>
        <v>225</v>
      </c>
      <c r="I35" s="376">
        <f t="shared" si="8"/>
        <v>225</v>
      </c>
      <c r="J35" s="376">
        <f t="shared" si="8"/>
        <v>225</v>
      </c>
      <c r="K35" s="376">
        <f t="shared" si="8"/>
        <v>225</v>
      </c>
      <c r="L35" s="376">
        <f t="shared" si="8"/>
        <v>225</v>
      </c>
      <c r="M35" s="376">
        <f t="shared" si="8"/>
        <v>225</v>
      </c>
      <c r="N35" s="376">
        <f t="shared" si="8"/>
        <v>225</v>
      </c>
      <c r="O35" s="376">
        <f t="shared" si="8"/>
        <v>225</v>
      </c>
      <c r="P35" s="376">
        <f t="shared" si="8"/>
        <v>225</v>
      </c>
      <c r="Q35" s="376">
        <f t="shared" si="8"/>
        <v>225</v>
      </c>
    </row>
    <row r="36" spans="1:17" x14ac:dyDescent="0.2">
      <c r="A36" s="104" t="s">
        <v>12</v>
      </c>
      <c r="B36" s="376">
        <v>9000</v>
      </c>
      <c r="C36" s="376">
        <v>9000</v>
      </c>
      <c r="D36" s="376">
        <v>9000</v>
      </c>
      <c r="E36" s="376">
        <v>9000</v>
      </c>
      <c r="F36" s="376">
        <f>'16 MO projection'!B41/12</f>
        <v>9000</v>
      </c>
      <c r="G36" s="376">
        <f t="shared" si="8"/>
        <v>9000</v>
      </c>
      <c r="H36" s="376">
        <f t="shared" si="8"/>
        <v>9000</v>
      </c>
      <c r="I36" s="376">
        <f t="shared" si="8"/>
        <v>9000</v>
      </c>
      <c r="J36" s="376">
        <f t="shared" si="8"/>
        <v>9000</v>
      </c>
      <c r="K36" s="376">
        <f t="shared" si="8"/>
        <v>9000</v>
      </c>
      <c r="L36" s="376">
        <f t="shared" si="8"/>
        <v>9000</v>
      </c>
      <c r="M36" s="376">
        <f t="shared" si="8"/>
        <v>9000</v>
      </c>
      <c r="N36" s="376">
        <f t="shared" si="8"/>
        <v>9000</v>
      </c>
      <c r="O36" s="376">
        <f t="shared" si="8"/>
        <v>9000</v>
      </c>
      <c r="P36" s="376">
        <f t="shared" si="8"/>
        <v>9000</v>
      </c>
      <c r="Q36" s="376">
        <f t="shared" si="8"/>
        <v>9000</v>
      </c>
    </row>
    <row r="37" spans="1:17" x14ac:dyDescent="0.2">
      <c r="A37" s="104" t="s">
        <v>190</v>
      </c>
      <c r="B37" s="376">
        <v>0</v>
      </c>
      <c r="C37" s="376">
        <v>0</v>
      </c>
      <c r="D37" s="376">
        <v>0</v>
      </c>
      <c r="E37" s="376">
        <v>0</v>
      </c>
      <c r="F37" s="376">
        <f>'16 MO projection'!B42/12</f>
        <v>1965</v>
      </c>
      <c r="G37" s="376">
        <f t="shared" si="8"/>
        <v>1965</v>
      </c>
      <c r="H37" s="376">
        <f t="shared" si="8"/>
        <v>1965</v>
      </c>
      <c r="I37" s="376">
        <f t="shared" si="8"/>
        <v>1965</v>
      </c>
      <c r="J37" s="376">
        <f t="shared" si="8"/>
        <v>1965</v>
      </c>
      <c r="K37" s="376">
        <f t="shared" si="8"/>
        <v>1965</v>
      </c>
      <c r="L37" s="376">
        <f t="shared" si="8"/>
        <v>1965</v>
      </c>
      <c r="M37" s="376">
        <f t="shared" si="8"/>
        <v>1965</v>
      </c>
      <c r="N37" s="376">
        <f t="shared" si="8"/>
        <v>1965</v>
      </c>
      <c r="O37" s="376">
        <f t="shared" si="8"/>
        <v>1965</v>
      </c>
      <c r="P37" s="376">
        <f t="shared" si="8"/>
        <v>1965</v>
      </c>
      <c r="Q37" s="376">
        <f t="shared" si="8"/>
        <v>1965</v>
      </c>
    </row>
    <row r="38" spans="1:17" x14ac:dyDescent="0.2">
      <c r="A38" s="104" t="s">
        <v>13</v>
      </c>
      <c r="B38" s="376">
        <v>1900</v>
      </c>
      <c r="C38" s="376">
        <v>1900</v>
      </c>
      <c r="D38" s="376">
        <v>1900</v>
      </c>
      <c r="E38" s="376">
        <v>1500</v>
      </c>
      <c r="F38" s="376">
        <f>'16 MO projection'!B43/12</f>
        <v>833.33333333333337</v>
      </c>
      <c r="G38" s="376">
        <f t="shared" si="8"/>
        <v>833.33333333333337</v>
      </c>
      <c r="H38" s="376">
        <f t="shared" si="8"/>
        <v>833.33333333333337</v>
      </c>
      <c r="I38" s="376">
        <f t="shared" si="8"/>
        <v>833.33333333333337</v>
      </c>
      <c r="J38" s="376">
        <f t="shared" si="8"/>
        <v>833.33333333333337</v>
      </c>
      <c r="K38" s="376">
        <f t="shared" si="8"/>
        <v>833.33333333333337</v>
      </c>
      <c r="L38" s="376">
        <f t="shared" si="8"/>
        <v>833.33333333333337</v>
      </c>
      <c r="M38" s="376">
        <f t="shared" si="8"/>
        <v>833.33333333333337</v>
      </c>
      <c r="N38" s="376">
        <f t="shared" si="8"/>
        <v>833.33333333333337</v>
      </c>
      <c r="O38" s="376">
        <f t="shared" si="8"/>
        <v>833.33333333333337</v>
      </c>
      <c r="P38" s="376">
        <f t="shared" si="8"/>
        <v>833.33333333333337</v>
      </c>
      <c r="Q38" s="376">
        <f t="shared" si="8"/>
        <v>833.33333333333337</v>
      </c>
    </row>
    <row r="39" spans="1:17" x14ac:dyDescent="0.2">
      <c r="A39" s="104" t="s">
        <v>14</v>
      </c>
      <c r="B39" s="376">
        <v>0</v>
      </c>
      <c r="C39" s="376">
        <v>0</v>
      </c>
      <c r="D39" s="376">
        <v>0</v>
      </c>
      <c r="E39" s="376">
        <v>0</v>
      </c>
      <c r="F39" s="376">
        <v>0</v>
      </c>
      <c r="G39" s="376">
        <v>0</v>
      </c>
      <c r="H39" s="376">
        <v>10000</v>
      </c>
      <c r="I39" s="376">
        <v>0</v>
      </c>
      <c r="J39" s="376">
        <f t="shared" si="8"/>
        <v>0</v>
      </c>
      <c r="K39" s="376">
        <f t="shared" si="8"/>
        <v>0</v>
      </c>
      <c r="L39" s="376">
        <f t="shared" si="8"/>
        <v>0</v>
      </c>
      <c r="M39" s="376">
        <f t="shared" si="8"/>
        <v>0</v>
      </c>
      <c r="N39" s="376">
        <f t="shared" si="8"/>
        <v>0</v>
      </c>
      <c r="O39" s="376">
        <f t="shared" si="8"/>
        <v>0</v>
      </c>
      <c r="P39" s="376">
        <f t="shared" si="8"/>
        <v>0</v>
      </c>
      <c r="Q39" s="376">
        <f t="shared" si="8"/>
        <v>0</v>
      </c>
    </row>
    <row r="40" spans="1:17" x14ac:dyDescent="0.2">
      <c r="A40" s="104" t="s">
        <v>15</v>
      </c>
      <c r="B40" s="376">
        <v>4300</v>
      </c>
      <c r="C40" s="376">
        <v>4000</v>
      </c>
      <c r="D40" s="376">
        <v>4000</v>
      </c>
      <c r="E40" s="376">
        <v>4000</v>
      </c>
      <c r="F40" s="376">
        <f>'16 MO projection'!B45/12</f>
        <v>7416.666666666667</v>
      </c>
      <c r="G40" s="376">
        <f t="shared" si="8"/>
        <v>7416.666666666667</v>
      </c>
      <c r="H40" s="376">
        <f t="shared" si="8"/>
        <v>7416.666666666667</v>
      </c>
      <c r="I40" s="376">
        <f t="shared" si="8"/>
        <v>7416.666666666667</v>
      </c>
      <c r="J40" s="376">
        <f t="shared" si="8"/>
        <v>7416.666666666667</v>
      </c>
      <c r="K40" s="376">
        <f t="shared" si="8"/>
        <v>7416.666666666667</v>
      </c>
      <c r="L40" s="376">
        <f t="shared" si="8"/>
        <v>7416.666666666667</v>
      </c>
      <c r="M40" s="376">
        <f t="shared" si="8"/>
        <v>7416.666666666667</v>
      </c>
      <c r="N40" s="376">
        <f t="shared" si="8"/>
        <v>7416.666666666667</v>
      </c>
      <c r="O40" s="376">
        <f t="shared" si="8"/>
        <v>7416.666666666667</v>
      </c>
      <c r="P40" s="376">
        <f t="shared" si="8"/>
        <v>7416.666666666667</v>
      </c>
      <c r="Q40" s="376">
        <f t="shared" si="8"/>
        <v>7416.666666666667</v>
      </c>
    </row>
    <row r="41" spans="1:17" x14ac:dyDescent="0.2">
      <c r="A41" s="104" t="s">
        <v>16</v>
      </c>
      <c r="B41" s="376">
        <v>0</v>
      </c>
      <c r="C41" s="376">
        <v>0</v>
      </c>
      <c r="D41" s="376">
        <v>0</v>
      </c>
      <c r="E41" s="376">
        <v>0</v>
      </c>
      <c r="F41" s="376">
        <f>'16 MO projection'!B46/12</f>
        <v>2328.7000000000003</v>
      </c>
      <c r="G41" s="376">
        <f t="shared" si="8"/>
        <v>2328.7000000000003</v>
      </c>
      <c r="H41" s="376">
        <f t="shared" si="8"/>
        <v>2328.7000000000003</v>
      </c>
      <c r="I41" s="376">
        <f t="shared" si="8"/>
        <v>2328.7000000000003</v>
      </c>
      <c r="J41" s="376">
        <f t="shared" si="8"/>
        <v>2328.7000000000003</v>
      </c>
      <c r="K41" s="376">
        <f t="shared" si="8"/>
        <v>2328.7000000000003</v>
      </c>
      <c r="L41" s="376">
        <f t="shared" si="8"/>
        <v>2328.7000000000003</v>
      </c>
      <c r="M41" s="376">
        <f t="shared" si="8"/>
        <v>2328.7000000000003</v>
      </c>
      <c r="N41" s="376">
        <f t="shared" si="8"/>
        <v>2328.7000000000003</v>
      </c>
      <c r="O41" s="376">
        <f t="shared" si="8"/>
        <v>2328.7000000000003</v>
      </c>
      <c r="P41" s="376">
        <f t="shared" si="8"/>
        <v>2328.7000000000003</v>
      </c>
      <c r="Q41" s="376">
        <f t="shared" si="8"/>
        <v>2328.7000000000003</v>
      </c>
    </row>
    <row r="42" spans="1:17" x14ac:dyDescent="0.2">
      <c r="A42" s="104" t="s">
        <v>211</v>
      </c>
      <c r="B42" s="376">
        <v>12000</v>
      </c>
      <c r="C42" s="376">
        <v>12000</v>
      </c>
      <c r="D42" s="376">
        <v>12000</v>
      </c>
      <c r="E42" s="376">
        <v>12000</v>
      </c>
      <c r="F42" s="376">
        <v>10000</v>
      </c>
      <c r="G42" s="376">
        <v>10000</v>
      </c>
      <c r="H42" s="376">
        <v>10500</v>
      </c>
      <c r="I42" s="376">
        <v>11500</v>
      </c>
      <c r="J42" s="376">
        <v>12000</v>
      </c>
      <c r="K42" s="376">
        <v>12500</v>
      </c>
      <c r="L42" s="376">
        <v>13000</v>
      </c>
      <c r="M42" s="376">
        <v>12500</v>
      </c>
      <c r="N42" s="376">
        <v>12250</v>
      </c>
      <c r="O42" s="376">
        <v>12000</v>
      </c>
      <c r="P42" s="376">
        <v>11500</v>
      </c>
      <c r="Q42" s="376">
        <v>11000</v>
      </c>
    </row>
    <row r="43" spans="1:17" x14ac:dyDescent="0.2">
      <c r="A43" s="104" t="s">
        <v>17</v>
      </c>
      <c r="B43" s="376">
        <v>5000</v>
      </c>
      <c r="C43" s="376">
        <v>5000</v>
      </c>
      <c r="D43" s="376">
        <v>5000</v>
      </c>
      <c r="E43" s="376">
        <v>5000</v>
      </c>
      <c r="F43" s="376">
        <f>'16 MO projection'!B48/12</f>
        <v>7350.4375</v>
      </c>
      <c r="G43" s="376">
        <f t="shared" si="8"/>
        <v>7350.4375</v>
      </c>
      <c r="H43" s="376">
        <f t="shared" si="8"/>
        <v>7350.4375</v>
      </c>
      <c r="I43" s="376">
        <f t="shared" si="8"/>
        <v>7350.4375</v>
      </c>
      <c r="J43" s="376">
        <f t="shared" si="8"/>
        <v>7350.4375</v>
      </c>
      <c r="K43" s="376">
        <f t="shared" si="8"/>
        <v>7350.4375</v>
      </c>
      <c r="L43" s="376">
        <f t="shared" si="8"/>
        <v>7350.4375</v>
      </c>
      <c r="M43" s="376">
        <f t="shared" si="8"/>
        <v>7350.4375</v>
      </c>
      <c r="N43" s="376">
        <f t="shared" si="8"/>
        <v>7350.4375</v>
      </c>
      <c r="O43" s="376">
        <f t="shared" si="8"/>
        <v>7350.4375</v>
      </c>
      <c r="P43" s="376">
        <f t="shared" si="8"/>
        <v>7350.4375</v>
      </c>
      <c r="Q43" s="376">
        <f t="shared" si="8"/>
        <v>7350.4375</v>
      </c>
    </row>
    <row r="44" spans="1:17" x14ac:dyDescent="0.2">
      <c r="A44" s="104" t="s">
        <v>18</v>
      </c>
      <c r="B44" s="376"/>
      <c r="C44" s="376"/>
      <c r="D44" s="376"/>
      <c r="E44" s="376"/>
      <c r="F44" s="376">
        <f>'16 MO projection'!B49/12</f>
        <v>4916.666666666667</v>
      </c>
      <c r="G44" s="376">
        <f t="shared" si="8"/>
        <v>4916.666666666667</v>
      </c>
      <c r="H44" s="376">
        <f t="shared" si="8"/>
        <v>4916.666666666667</v>
      </c>
      <c r="I44" s="376">
        <f t="shared" si="8"/>
        <v>4916.666666666667</v>
      </c>
      <c r="J44" s="376">
        <f t="shared" si="8"/>
        <v>4916.666666666667</v>
      </c>
      <c r="K44" s="376">
        <f t="shared" si="8"/>
        <v>4916.666666666667</v>
      </c>
      <c r="L44" s="376">
        <f t="shared" si="8"/>
        <v>4916.666666666667</v>
      </c>
      <c r="M44" s="376">
        <f t="shared" si="8"/>
        <v>4916.666666666667</v>
      </c>
      <c r="N44" s="376">
        <f t="shared" si="8"/>
        <v>4916.666666666667</v>
      </c>
      <c r="O44" s="376">
        <f t="shared" si="8"/>
        <v>4916.666666666667</v>
      </c>
      <c r="P44" s="376">
        <f t="shared" si="8"/>
        <v>4916.666666666667</v>
      </c>
      <c r="Q44" s="376">
        <f t="shared" si="8"/>
        <v>4916.666666666667</v>
      </c>
    </row>
    <row r="45" spans="1:17" x14ac:dyDescent="0.2">
      <c r="A45" s="104" t="s">
        <v>19</v>
      </c>
      <c r="B45" s="376">
        <v>27000</v>
      </c>
      <c r="C45" s="376">
        <v>27000</v>
      </c>
      <c r="D45" s="376">
        <v>27000</v>
      </c>
      <c r="E45" s="376">
        <v>27000</v>
      </c>
      <c r="F45" s="376">
        <f>'16 MO projection'!B50/12</f>
        <v>60000</v>
      </c>
      <c r="G45" s="376">
        <f t="shared" si="8"/>
        <v>60000</v>
      </c>
      <c r="H45" s="376">
        <f t="shared" si="8"/>
        <v>60000</v>
      </c>
      <c r="I45" s="376">
        <f t="shared" si="8"/>
        <v>60000</v>
      </c>
      <c r="J45" s="376">
        <f t="shared" si="8"/>
        <v>60000</v>
      </c>
      <c r="K45" s="376">
        <f t="shared" si="8"/>
        <v>60000</v>
      </c>
      <c r="L45" s="376">
        <f t="shared" si="8"/>
        <v>60000</v>
      </c>
      <c r="M45" s="376">
        <f t="shared" si="8"/>
        <v>60000</v>
      </c>
      <c r="N45" s="376">
        <f t="shared" si="8"/>
        <v>60000</v>
      </c>
      <c r="O45" s="376">
        <f t="shared" si="8"/>
        <v>60000</v>
      </c>
      <c r="P45" s="376">
        <f t="shared" si="8"/>
        <v>60000</v>
      </c>
      <c r="Q45" s="376">
        <f t="shared" si="8"/>
        <v>60000</v>
      </c>
    </row>
    <row r="46" spans="1:17" x14ac:dyDescent="0.2">
      <c r="A46" s="104" t="s">
        <v>20</v>
      </c>
      <c r="B46" s="376">
        <v>900</v>
      </c>
      <c r="C46" s="376">
        <v>900</v>
      </c>
      <c r="D46" s="376">
        <v>900</v>
      </c>
      <c r="E46" s="376">
        <v>900</v>
      </c>
      <c r="F46" s="376">
        <f>'16 MO projection'!B51/12</f>
        <v>873.33333333333337</v>
      </c>
      <c r="G46" s="376">
        <f t="shared" si="8"/>
        <v>873.33333333333337</v>
      </c>
      <c r="H46" s="376">
        <f t="shared" si="8"/>
        <v>873.33333333333337</v>
      </c>
      <c r="I46" s="376">
        <f t="shared" si="8"/>
        <v>873.33333333333337</v>
      </c>
      <c r="J46" s="376">
        <f t="shared" si="8"/>
        <v>873.33333333333337</v>
      </c>
      <c r="K46" s="376">
        <f t="shared" si="8"/>
        <v>873.33333333333337</v>
      </c>
      <c r="L46" s="376">
        <f t="shared" si="8"/>
        <v>873.33333333333337</v>
      </c>
      <c r="M46" s="376">
        <f t="shared" si="8"/>
        <v>873.33333333333337</v>
      </c>
      <c r="N46" s="376">
        <f t="shared" si="8"/>
        <v>873.33333333333337</v>
      </c>
      <c r="O46" s="376">
        <f t="shared" si="8"/>
        <v>873.33333333333337</v>
      </c>
      <c r="P46" s="376">
        <f t="shared" si="8"/>
        <v>873.33333333333337</v>
      </c>
      <c r="Q46" s="376">
        <f t="shared" si="8"/>
        <v>873.33333333333337</v>
      </c>
    </row>
    <row r="47" spans="1:17" x14ac:dyDescent="0.2">
      <c r="A47" s="104" t="s">
        <v>255</v>
      </c>
      <c r="B47" s="376">
        <v>2100</v>
      </c>
      <c r="C47" s="376">
        <v>2100</v>
      </c>
      <c r="D47" s="376">
        <v>2100</v>
      </c>
      <c r="E47" s="376">
        <v>2100</v>
      </c>
      <c r="F47" s="376">
        <f>'16 MO projection'!B52/12</f>
        <v>3750</v>
      </c>
      <c r="G47" s="376">
        <f t="shared" si="8"/>
        <v>3750</v>
      </c>
      <c r="H47" s="376">
        <f t="shared" si="8"/>
        <v>3750</v>
      </c>
      <c r="I47" s="376">
        <f t="shared" si="8"/>
        <v>3750</v>
      </c>
      <c r="J47" s="376">
        <f t="shared" si="8"/>
        <v>3750</v>
      </c>
      <c r="K47" s="376">
        <f t="shared" si="8"/>
        <v>3750</v>
      </c>
      <c r="L47" s="376">
        <f t="shared" si="8"/>
        <v>3750</v>
      </c>
      <c r="M47" s="376">
        <f t="shared" si="8"/>
        <v>3750</v>
      </c>
      <c r="N47" s="376">
        <f t="shared" si="8"/>
        <v>3750</v>
      </c>
      <c r="O47" s="376">
        <f t="shared" si="8"/>
        <v>3750</v>
      </c>
      <c r="P47" s="376">
        <f t="shared" si="8"/>
        <v>3750</v>
      </c>
      <c r="Q47" s="376">
        <f t="shared" si="8"/>
        <v>3750</v>
      </c>
    </row>
    <row r="48" spans="1:17" x14ac:dyDescent="0.2">
      <c r="A48" s="104" t="s">
        <v>21</v>
      </c>
      <c r="B48" s="376">
        <v>670</v>
      </c>
      <c r="C48" s="376">
        <v>670</v>
      </c>
      <c r="D48" s="376">
        <v>670</v>
      </c>
      <c r="E48" s="376">
        <v>670</v>
      </c>
      <c r="F48" s="376">
        <f>'16 MO projection'!B53/12</f>
        <v>607.72</v>
      </c>
      <c r="G48" s="376">
        <f t="shared" si="8"/>
        <v>607.72</v>
      </c>
      <c r="H48" s="376">
        <f t="shared" si="8"/>
        <v>607.72</v>
      </c>
      <c r="I48" s="376">
        <f t="shared" si="8"/>
        <v>607.72</v>
      </c>
      <c r="J48" s="376">
        <f t="shared" si="8"/>
        <v>607.72</v>
      </c>
      <c r="K48" s="376">
        <f t="shared" si="8"/>
        <v>607.72</v>
      </c>
      <c r="L48" s="376">
        <f t="shared" ref="H48:Q63" si="9">K48</f>
        <v>607.72</v>
      </c>
      <c r="M48" s="376">
        <f t="shared" si="9"/>
        <v>607.72</v>
      </c>
      <c r="N48" s="376">
        <f t="shared" si="9"/>
        <v>607.72</v>
      </c>
      <c r="O48" s="376">
        <f t="shared" si="9"/>
        <v>607.72</v>
      </c>
      <c r="P48" s="376">
        <f t="shared" si="9"/>
        <v>607.72</v>
      </c>
      <c r="Q48" s="376">
        <f t="shared" si="9"/>
        <v>607.72</v>
      </c>
    </row>
    <row r="49" spans="1:17" x14ac:dyDescent="0.2">
      <c r="A49" s="104" t="s">
        <v>22</v>
      </c>
      <c r="B49" s="376">
        <v>1505</v>
      </c>
      <c r="C49" s="376">
        <v>1505</v>
      </c>
      <c r="D49" s="376">
        <v>1505</v>
      </c>
      <c r="E49" s="376">
        <v>1505</v>
      </c>
      <c r="F49" s="376">
        <f>'16 MO projection'!B54/12</f>
        <v>1519.3</v>
      </c>
      <c r="G49" s="376">
        <f t="shared" si="8"/>
        <v>1519.3</v>
      </c>
      <c r="H49" s="376">
        <f t="shared" si="9"/>
        <v>1519.3</v>
      </c>
      <c r="I49" s="376">
        <f t="shared" si="9"/>
        <v>1519.3</v>
      </c>
      <c r="J49" s="376">
        <f t="shared" si="9"/>
        <v>1519.3</v>
      </c>
      <c r="K49" s="376">
        <f t="shared" si="9"/>
        <v>1519.3</v>
      </c>
      <c r="L49" s="376">
        <f t="shared" si="9"/>
        <v>1519.3</v>
      </c>
      <c r="M49" s="376">
        <f t="shared" si="9"/>
        <v>1519.3</v>
      </c>
      <c r="N49" s="376">
        <f t="shared" si="9"/>
        <v>1519.3</v>
      </c>
      <c r="O49" s="376">
        <f t="shared" si="9"/>
        <v>1519.3</v>
      </c>
      <c r="P49" s="376">
        <f t="shared" si="9"/>
        <v>1519.3</v>
      </c>
      <c r="Q49" s="376">
        <f t="shared" si="9"/>
        <v>1519.3</v>
      </c>
    </row>
    <row r="50" spans="1:17" x14ac:dyDescent="0.2">
      <c r="A50" s="104" t="s">
        <v>23</v>
      </c>
      <c r="B50" s="376">
        <v>495</v>
      </c>
      <c r="C50" s="376">
        <v>495</v>
      </c>
      <c r="D50" s="376">
        <v>495</v>
      </c>
      <c r="E50" s="376">
        <v>495</v>
      </c>
      <c r="F50" s="376">
        <f>'16 MO projection'!B55/12</f>
        <v>540</v>
      </c>
      <c r="G50" s="376">
        <f t="shared" si="8"/>
        <v>540</v>
      </c>
      <c r="H50" s="376">
        <f t="shared" si="9"/>
        <v>540</v>
      </c>
      <c r="I50" s="376">
        <f t="shared" si="9"/>
        <v>540</v>
      </c>
      <c r="J50" s="376">
        <f t="shared" si="9"/>
        <v>540</v>
      </c>
      <c r="K50" s="376">
        <f t="shared" si="9"/>
        <v>540</v>
      </c>
      <c r="L50" s="376">
        <f t="shared" si="9"/>
        <v>540</v>
      </c>
      <c r="M50" s="376">
        <f t="shared" si="9"/>
        <v>540</v>
      </c>
      <c r="N50" s="376">
        <f t="shared" si="9"/>
        <v>540</v>
      </c>
      <c r="O50" s="376">
        <f t="shared" si="9"/>
        <v>540</v>
      </c>
      <c r="P50" s="376">
        <f t="shared" si="9"/>
        <v>540</v>
      </c>
      <c r="Q50" s="376">
        <f t="shared" si="9"/>
        <v>540</v>
      </c>
    </row>
    <row r="51" spans="1:17" x14ac:dyDescent="0.2">
      <c r="A51" s="104" t="s">
        <v>24</v>
      </c>
      <c r="B51" s="376">
        <v>225</v>
      </c>
      <c r="C51" s="376">
        <v>225</v>
      </c>
      <c r="D51" s="376">
        <v>225</v>
      </c>
      <c r="E51" s="376">
        <v>225</v>
      </c>
      <c r="F51" s="376">
        <f>'16 MO projection'!B56/12</f>
        <v>218.33333333333334</v>
      </c>
      <c r="G51" s="376">
        <f t="shared" si="8"/>
        <v>218.33333333333334</v>
      </c>
      <c r="H51" s="376">
        <f t="shared" si="9"/>
        <v>218.33333333333334</v>
      </c>
      <c r="I51" s="376">
        <f t="shared" si="9"/>
        <v>218.33333333333334</v>
      </c>
      <c r="J51" s="376">
        <f t="shared" si="9"/>
        <v>218.33333333333334</v>
      </c>
      <c r="K51" s="376">
        <f t="shared" si="9"/>
        <v>218.33333333333334</v>
      </c>
      <c r="L51" s="376">
        <f t="shared" si="9"/>
        <v>218.33333333333334</v>
      </c>
      <c r="M51" s="376">
        <f t="shared" si="9"/>
        <v>218.33333333333334</v>
      </c>
      <c r="N51" s="376">
        <f t="shared" si="9"/>
        <v>218.33333333333334</v>
      </c>
      <c r="O51" s="376">
        <f t="shared" si="9"/>
        <v>218.33333333333334</v>
      </c>
      <c r="P51" s="376">
        <f t="shared" si="9"/>
        <v>218.33333333333334</v>
      </c>
      <c r="Q51" s="376">
        <f t="shared" si="9"/>
        <v>218.33333333333334</v>
      </c>
    </row>
    <row r="52" spans="1:17" x14ac:dyDescent="0.2">
      <c r="A52" s="104" t="s">
        <v>42</v>
      </c>
      <c r="B52" s="376">
        <v>3500</v>
      </c>
      <c r="C52" s="376">
        <v>3500</v>
      </c>
      <c r="D52" s="376">
        <v>3500</v>
      </c>
      <c r="E52" s="376">
        <v>3500</v>
      </c>
      <c r="F52" s="376">
        <v>100</v>
      </c>
      <c r="G52" s="376">
        <v>200</v>
      </c>
      <c r="H52" s="376">
        <v>3000</v>
      </c>
      <c r="I52" s="376">
        <v>0</v>
      </c>
      <c r="J52" s="376">
        <v>0</v>
      </c>
      <c r="K52" s="376">
        <f t="shared" si="9"/>
        <v>0</v>
      </c>
      <c r="L52" s="376">
        <f t="shared" si="9"/>
        <v>0</v>
      </c>
      <c r="M52" s="376">
        <f t="shared" si="9"/>
        <v>0</v>
      </c>
      <c r="N52" s="376">
        <v>3000</v>
      </c>
      <c r="O52" s="376">
        <v>1000</v>
      </c>
      <c r="P52" s="376">
        <v>0</v>
      </c>
      <c r="Q52" s="376">
        <v>0</v>
      </c>
    </row>
    <row r="53" spans="1:17" x14ac:dyDescent="0.2">
      <c r="A53" s="104" t="s">
        <v>25</v>
      </c>
      <c r="B53" s="376">
        <v>0</v>
      </c>
      <c r="C53" s="376">
        <v>0</v>
      </c>
      <c r="D53" s="376">
        <v>0</v>
      </c>
      <c r="E53" s="376">
        <v>0</v>
      </c>
      <c r="G53" s="376"/>
      <c r="H53" s="376"/>
      <c r="I53" s="376"/>
      <c r="J53" s="376"/>
      <c r="K53" s="376"/>
      <c r="L53" s="376"/>
      <c r="M53" s="376">
        <v>3825</v>
      </c>
      <c r="N53" s="376"/>
      <c r="O53" s="376"/>
      <c r="P53" s="376"/>
      <c r="Q53" s="376"/>
    </row>
    <row r="54" spans="1:17" x14ac:dyDescent="0.2">
      <c r="A54" s="104" t="s">
        <v>193</v>
      </c>
      <c r="B54" s="376">
        <v>5200</v>
      </c>
      <c r="C54" s="376">
        <v>5200</v>
      </c>
      <c r="D54" s="376">
        <v>5200</v>
      </c>
      <c r="E54" s="376">
        <v>5200</v>
      </c>
      <c r="F54" s="376">
        <f>'16 MO projection'!B59/12</f>
        <v>10807.5</v>
      </c>
      <c r="G54" s="376">
        <f t="shared" si="8"/>
        <v>10807.5</v>
      </c>
      <c r="H54" s="376">
        <f t="shared" si="9"/>
        <v>10807.5</v>
      </c>
      <c r="I54" s="376">
        <f t="shared" si="9"/>
        <v>10807.5</v>
      </c>
      <c r="J54" s="376">
        <f t="shared" si="9"/>
        <v>10807.5</v>
      </c>
      <c r="K54" s="376">
        <f t="shared" si="9"/>
        <v>10807.5</v>
      </c>
      <c r="L54" s="376">
        <f t="shared" si="9"/>
        <v>10807.5</v>
      </c>
      <c r="M54" s="376">
        <f t="shared" si="9"/>
        <v>10807.5</v>
      </c>
      <c r="N54" s="376">
        <f t="shared" si="9"/>
        <v>10807.5</v>
      </c>
      <c r="O54" s="376">
        <f t="shared" si="9"/>
        <v>10807.5</v>
      </c>
      <c r="P54" s="376">
        <f t="shared" si="9"/>
        <v>10807.5</v>
      </c>
      <c r="Q54" s="376">
        <f t="shared" si="9"/>
        <v>10807.5</v>
      </c>
    </row>
    <row r="55" spans="1:17" x14ac:dyDescent="0.2">
      <c r="A55" s="104" t="s">
        <v>192</v>
      </c>
      <c r="B55" s="376">
        <v>2600</v>
      </c>
      <c r="C55" s="376">
        <v>2600</v>
      </c>
      <c r="D55" s="376">
        <v>2600</v>
      </c>
      <c r="E55" s="376">
        <v>2600</v>
      </c>
      <c r="F55" s="376">
        <f>'16 MO projection'!B60/12</f>
        <v>3602.5</v>
      </c>
      <c r="G55" s="376">
        <f t="shared" si="8"/>
        <v>3602.5</v>
      </c>
      <c r="H55" s="376">
        <f t="shared" si="9"/>
        <v>3602.5</v>
      </c>
      <c r="I55" s="376">
        <f t="shared" si="9"/>
        <v>3602.5</v>
      </c>
      <c r="J55" s="376">
        <f t="shared" si="9"/>
        <v>3602.5</v>
      </c>
      <c r="K55" s="376">
        <f t="shared" si="9"/>
        <v>3602.5</v>
      </c>
      <c r="L55" s="376">
        <f t="shared" si="9"/>
        <v>3602.5</v>
      </c>
      <c r="M55" s="376">
        <f t="shared" si="9"/>
        <v>3602.5</v>
      </c>
      <c r="N55" s="376">
        <f t="shared" si="9"/>
        <v>3602.5</v>
      </c>
      <c r="O55" s="376">
        <f t="shared" si="9"/>
        <v>3602.5</v>
      </c>
      <c r="P55" s="376">
        <f t="shared" si="9"/>
        <v>3602.5</v>
      </c>
      <c r="Q55" s="376">
        <f t="shared" si="9"/>
        <v>3602.5</v>
      </c>
    </row>
    <row r="56" spans="1:17" x14ac:dyDescent="0.2">
      <c r="A56" s="104" t="s">
        <v>26</v>
      </c>
      <c r="B56" s="376">
        <v>5000</v>
      </c>
      <c r="C56" s="376">
        <v>5000</v>
      </c>
      <c r="D56" s="376">
        <v>5000</v>
      </c>
      <c r="E56" s="376">
        <v>5000</v>
      </c>
      <c r="F56" s="376">
        <v>20000</v>
      </c>
      <c r="G56" s="376">
        <v>5000</v>
      </c>
      <c r="H56" s="376">
        <v>100</v>
      </c>
      <c r="I56" s="376">
        <f t="shared" si="9"/>
        <v>100</v>
      </c>
      <c r="J56" s="376">
        <f t="shared" si="9"/>
        <v>100</v>
      </c>
      <c r="K56" s="376">
        <f t="shared" si="9"/>
        <v>100</v>
      </c>
      <c r="L56" s="376">
        <f t="shared" si="9"/>
        <v>100</v>
      </c>
      <c r="M56" s="376">
        <f t="shared" si="9"/>
        <v>100</v>
      </c>
      <c r="N56" s="376">
        <f t="shared" si="9"/>
        <v>100</v>
      </c>
      <c r="O56" s="376">
        <f t="shared" si="9"/>
        <v>100</v>
      </c>
      <c r="P56" s="376">
        <f t="shared" si="9"/>
        <v>100</v>
      </c>
      <c r="Q56" s="376">
        <f t="shared" si="9"/>
        <v>100</v>
      </c>
    </row>
    <row r="57" spans="1:17" x14ac:dyDescent="0.2">
      <c r="A57" s="104" t="s">
        <v>27</v>
      </c>
      <c r="B57" s="376">
        <v>400</v>
      </c>
      <c r="C57" s="376">
        <v>400</v>
      </c>
      <c r="D57" s="376">
        <v>400</v>
      </c>
      <c r="E57" s="376">
        <v>400</v>
      </c>
      <c r="F57" s="376">
        <f>'16 MO projection'!B62/12</f>
        <v>655</v>
      </c>
      <c r="G57" s="376">
        <f t="shared" si="8"/>
        <v>655</v>
      </c>
      <c r="H57" s="376">
        <f t="shared" si="9"/>
        <v>655</v>
      </c>
      <c r="I57" s="376">
        <f t="shared" si="9"/>
        <v>655</v>
      </c>
      <c r="J57" s="376">
        <f t="shared" si="9"/>
        <v>655</v>
      </c>
      <c r="K57" s="376">
        <f t="shared" si="9"/>
        <v>655</v>
      </c>
      <c r="L57" s="376">
        <f t="shared" si="9"/>
        <v>655</v>
      </c>
      <c r="M57" s="376">
        <f t="shared" si="9"/>
        <v>655</v>
      </c>
      <c r="N57" s="376">
        <f t="shared" si="9"/>
        <v>655</v>
      </c>
      <c r="O57" s="376">
        <f t="shared" si="9"/>
        <v>655</v>
      </c>
      <c r="P57" s="376">
        <f t="shared" si="9"/>
        <v>655</v>
      </c>
      <c r="Q57" s="376">
        <f t="shared" si="9"/>
        <v>655</v>
      </c>
    </row>
    <row r="58" spans="1:17" x14ac:dyDescent="0.2">
      <c r="A58" s="104" t="s">
        <v>41</v>
      </c>
      <c r="B58" s="376">
        <v>0</v>
      </c>
      <c r="C58" s="376">
        <v>0</v>
      </c>
      <c r="D58" s="376">
        <v>0</v>
      </c>
      <c r="E58" s="376">
        <v>0</v>
      </c>
      <c r="F58" s="376">
        <f>'16 MO projection'!B63/12</f>
        <v>436.66666666666669</v>
      </c>
      <c r="G58" s="376">
        <f t="shared" si="8"/>
        <v>436.66666666666669</v>
      </c>
      <c r="H58" s="376">
        <f t="shared" si="9"/>
        <v>436.66666666666669</v>
      </c>
      <c r="I58" s="376">
        <f t="shared" si="9"/>
        <v>436.66666666666669</v>
      </c>
      <c r="J58" s="376">
        <f t="shared" si="9"/>
        <v>436.66666666666669</v>
      </c>
      <c r="K58" s="376">
        <f t="shared" si="9"/>
        <v>436.66666666666669</v>
      </c>
      <c r="L58" s="376">
        <f t="shared" si="9"/>
        <v>436.66666666666669</v>
      </c>
      <c r="M58" s="376">
        <f t="shared" si="9"/>
        <v>436.66666666666669</v>
      </c>
      <c r="N58" s="376">
        <f t="shared" si="9"/>
        <v>436.66666666666669</v>
      </c>
      <c r="O58" s="376">
        <f t="shared" si="9"/>
        <v>436.66666666666669</v>
      </c>
      <c r="P58" s="376">
        <f t="shared" si="9"/>
        <v>436.66666666666669</v>
      </c>
      <c r="Q58" s="376">
        <f t="shared" si="9"/>
        <v>436.66666666666669</v>
      </c>
    </row>
    <row r="59" spans="1:17" x14ac:dyDescent="0.2">
      <c r="A59" s="104" t="s">
        <v>28</v>
      </c>
      <c r="B59" s="376">
        <v>170275</v>
      </c>
      <c r="C59" s="376">
        <v>170275</v>
      </c>
      <c r="D59" s="376"/>
      <c r="E59" s="376"/>
      <c r="F59" s="376">
        <f>'16 MO projection'!B64/12</f>
        <v>2106.6666666666665</v>
      </c>
      <c r="G59" s="376">
        <f t="shared" si="8"/>
        <v>2106.6666666666665</v>
      </c>
      <c r="H59" s="376">
        <f t="shared" si="9"/>
        <v>2106.6666666666665</v>
      </c>
      <c r="I59" s="376">
        <f t="shared" si="9"/>
        <v>2106.6666666666665</v>
      </c>
      <c r="J59" s="376">
        <f t="shared" si="9"/>
        <v>2106.6666666666665</v>
      </c>
      <c r="K59" s="376">
        <f t="shared" si="9"/>
        <v>2106.6666666666665</v>
      </c>
      <c r="L59" s="376">
        <f t="shared" si="9"/>
        <v>2106.6666666666665</v>
      </c>
      <c r="M59" s="376">
        <f t="shared" si="9"/>
        <v>2106.6666666666665</v>
      </c>
      <c r="N59" s="376">
        <f t="shared" si="9"/>
        <v>2106.6666666666665</v>
      </c>
      <c r="O59" s="376">
        <f t="shared" si="9"/>
        <v>2106.6666666666665</v>
      </c>
      <c r="P59" s="376">
        <f t="shared" si="9"/>
        <v>2106.6666666666665</v>
      </c>
      <c r="Q59" s="376">
        <f t="shared" si="9"/>
        <v>2106.6666666666665</v>
      </c>
    </row>
    <row r="60" spans="1:17" x14ac:dyDescent="0.2">
      <c r="A60" s="104" t="s">
        <v>29</v>
      </c>
      <c r="B60" s="376"/>
      <c r="C60" s="376"/>
      <c r="D60" s="376"/>
      <c r="E60" s="376"/>
      <c r="F60" s="376">
        <f>'16 MO projection'!B65/12</f>
        <v>3.75</v>
      </c>
      <c r="G60" s="376">
        <f t="shared" si="8"/>
        <v>3.75</v>
      </c>
      <c r="H60" s="376">
        <f t="shared" si="9"/>
        <v>3.75</v>
      </c>
      <c r="I60" s="376">
        <f t="shared" si="9"/>
        <v>3.75</v>
      </c>
      <c r="J60" s="376">
        <f t="shared" si="9"/>
        <v>3.75</v>
      </c>
      <c r="K60" s="376">
        <f t="shared" si="9"/>
        <v>3.75</v>
      </c>
      <c r="L60" s="376">
        <f t="shared" si="9"/>
        <v>3.75</v>
      </c>
      <c r="M60" s="376">
        <f t="shared" si="9"/>
        <v>3.75</v>
      </c>
      <c r="N60" s="376">
        <f t="shared" si="9"/>
        <v>3.75</v>
      </c>
      <c r="O60" s="376">
        <f t="shared" si="9"/>
        <v>3.75</v>
      </c>
      <c r="P60" s="376">
        <f t="shared" si="9"/>
        <v>3.75</v>
      </c>
      <c r="Q60" s="376">
        <f t="shared" si="9"/>
        <v>3.75</v>
      </c>
    </row>
    <row r="61" spans="1:17" x14ac:dyDescent="0.2">
      <c r="A61" s="104" t="s">
        <v>191</v>
      </c>
      <c r="B61" s="376"/>
      <c r="C61" s="376"/>
      <c r="D61" s="376"/>
      <c r="E61" s="376"/>
      <c r="F61" s="376">
        <f>'16 MO projection'!B66/12</f>
        <v>1875</v>
      </c>
      <c r="G61" s="376">
        <f t="shared" si="8"/>
        <v>1875</v>
      </c>
      <c r="H61" s="376">
        <f t="shared" si="9"/>
        <v>1875</v>
      </c>
      <c r="I61" s="376">
        <f t="shared" si="9"/>
        <v>1875</v>
      </c>
      <c r="J61" s="376">
        <f t="shared" si="9"/>
        <v>1875</v>
      </c>
      <c r="K61" s="376">
        <f t="shared" si="9"/>
        <v>1875</v>
      </c>
      <c r="L61" s="376">
        <f t="shared" si="9"/>
        <v>1875</v>
      </c>
      <c r="M61" s="376">
        <f t="shared" si="9"/>
        <v>1875</v>
      </c>
      <c r="N61" s="376">
        <f t="shared" si="9"/>
        <v>1875</v>
      </c>
      <c r="O61" s="376">
        <f t="shared" si="9"/>
        <v>1875</v>
      </c>
      <c r="P61" s="376">
        <f t="shared" si="9"/>
        <v>1875</v>
      </c>
      <c r="Q61" s="376">
        <f t="shared" si="9"/>
        <v>1875</v>
      </c>
    </row>
    <row r="62" spans="1:17" x14ac:dyDescent="0.2">
      <c r="A62" s="104" t="s">
        <v>30</v>
      </c>
      <c r="B62" s="376"/>
      <c r="C62" s="376"/>
      <c r="D62" s="376"/>
      <c r="E62" s="376"/>
      <c r="F62" s="376">
        <f>'16 MO projection'!B67/12</f>
        <v>1666.6666666666667</v>
      </c>
      <c r="G62" s="376">
        <f t="shared" si="8"/>
        <v>1666.6666666666667</v>
      </c>
      <c r="H62" s="376">
        <f t="shared" si="9"/>
        <v>1666.6666666666667</v>
      </c>
      <c r="I62" s="376">
        <f t="shared" si="9"/>
        <v>1666.6666666666667</v>
      </c>
      <c r="J62" s="376">
        <f t="shared" si="9"/>
        <v>1666.6666666666667</v>
      </c>
      <c r="K62" s="376">
        <f t="shared" si="9"/>
        <v>1666.6666666666667</v>
      </c>
      <c r="L62" s="376">
        <f t="shared" si="9"/>
        <v>1666.6666666666667</v>
      </c>
      <c r="M62" s="376">
        <f t="shared" si="9"/>
        <v>1666.6666666666667</v>
      </c>
      <c r="N62" s="376">
        <f t="shared" si="9"/>
        <v>1666.6666666666667</v>
      </c>
      <c r="O62" s="376">
        <f t="shared" si="9"/>
        <v>1666.6666666666667</v>
      </c>
      <c r="P62" s="376">
        <f t="shared" si="9"/>
        <v>1666.6666666666667</v>
      </c>
      <c r="Q62" s="376">
        <f t="shared" si="9"/>
        <v>1666.6666666666667</v>
      </c>
    </row>
    <row r="63" spans="1:17" x14ac:dyDescent="0.2">
      <c r="A63" s="104" t="s">
        <v>31</v>
      </c>
      <c r="B63" s="376"/>
      <c r="C63" s="376"/>
      <c r="D63" s="376"/>
      <c r="E63" s="376"/>
      <c r="F63" s="376">
        <f>'16 MO projection'!B68/12</f>
        <v>-900</v>
      </c>
      <c r="G63" s="376">
        <f t="shared" si="8"/>
        <v>-900</v>
      </c>
      <c r="H63" s="376">
        <f t="shared" si="9"/>
        <v>-900</v>
      </c>
      <c r="I63" s="376">
        <f t="shared" si="9"/>
        <v>-900</v>
      </c>
      <c r="J63" s="376">
        <f t="shared" si="9"/>
        <v>-900</v>
      </c>
      <c r="K63" s="376">
        <f t="shared" si="9"/>
        <v>-900</v>
      </c>
      <c r="L63" s="376">
        <f t="shared" si="9"/>
        <v>-900</v>
      </c>
      <c r="M63" s="376">
        <f t="shared" si="9"/>
        <v>-900</v>
      </c>
      <c r="N63" s="376">
        <f t="shared" si="9"/>
        <v>-900</v>
      </c>
      <c r="O63" s="376">
        <f t="shared" si="9"/>
        <v>-900</v>
      </c>
      <c r="P63" s="376">
        <f t="shared" si="9"/>
        <v>-900</v>
      </c>
      <c r="Q63" s="376">
        <f t="shared" si="9"/>
        <v>-900</v>
      </c>
    </row>
    <row r="64" spans="1:17" x14ac:dyDescent="0.2">
      <c r="A64" s="104" t="s">
        <v>32</v>
      </c>
      <c r="B64" s="376"/>
      <c r="C64" s="376"/>
      <c r="D64" s="376"/>
      <c r="E64" s="376"/>
      <c r="F64" s="376">
        <f>'16 MO projection'!B69/12</f>
        <v>873.33333333333337</v>
      </c>
      <c r="G64" s="376">
        <f t="shared" si="8"/>
        <v>873.33333333333337</v>
      </c>
      <c r="H64" s="376">
        <f t="shared" ref="H64:Q67" si="10">G64</f>
        <v>873.33333333333337</v>
      </c>
      <c r="I64" s="376">
        <f t="shared" si="10"/>
        <v>873.33333333333337</v>
      </c>
      <c r="J64" s="376">
        <f t="shared" si="10"/>
        <v>873.33333333333337</v>
      </c>
      <c r="K64" s="376">
        <f t="shared" si="10"/>
        <v>873.33333333333337</v>
      </c>
      <c r="L64" s="376">
        <f t="shared" si="10"/>
        <v>873.33333333333337</v>
      </c>
      <c r="M64" s="376">
        <f t="shared" si="10"/>
        <v>873.33333333333337</v>
      </c>
      <c r="N64" s="376">
        <f t="shared" si="10"/>
        <v>873.33333333333337</v>
      </c>
      <c r="O64" s="376">
        <f t="shared" si="10"/>
        <v>873.33333333333337</v>
      </c>
      <c r="P64" s="376">
        <f t="shared" si="10"/>
        <v>873.33333333333337</v>
      </c>
      <c r="Q64" s="376">
        <f t="shared" si="10"/>
        <v>873.33333333333337</v>
      </c>
    </row>
    <row r="65" spans="1:17" x14ac:dyDescent="0.2">
      <c r="A65" s="104" t="s">
        <v>43</v>
      </c>
      <c r="B65" s="376"/>
      <c r="C65" s="376"/>
      <c r="D65" s="376"/>
      <c r="E65" s="376"/>
      <c r="F65" s="376">
        <f>'16 MO projection'!B70/12</f>
        <v>0</v>
      </c>
      <c r="G65" s="376">
        <f t="shared" si="8"/>
        <v>0</v>
      </c>
      <c r="H65" s="376">
        <f t="shared" si="10"/>
        <v>0</v>
      </c>
      <c r="I65" s="376">
        <f t="shared" si="10"/>
        <v>0</v>
      </c>
      <c r="J65" s="376">
        <f t="shared" si="10"/>
        <v>0</v>
      </c>
      <c r="K65" s="376">
        <f t="shared" si="10"/>
        <v>0</v>
      </c>
      <c r="L65" s="376">
        <f t="shared" si="10"/>
        <v>0</v>
      </c>
      <c r="M65" s="376">
        <f t="shared" si="10"/>
        <v>0</v>
      </c>
      <c r="N65" s="376">
        <f t="shared" si="10"/>
        <v>0</v>
      </c>
      <c r="O65" s="376">
        <f t="shared" si="10"/>
        <v>0</v>
      </c>
      <c r="P65" s="376">
        <f t="shared" si="10"/>
        <v>0</v>
      </c>
      <c r="Q65" s="376">
        <f t="shared" si="10"/>
        <v>0</v>
      </c>
    </row>
    <row r="66" spans="1:17" x14ac:dyDescent="0.2">
      <c r="A66" s="104" t="s">
        <v>33</v>
      </c>
      <c r="B66" s="376"/>
      <c r="C66" s="376"/>
      <c r="D66" s="376"/>
      <c r="E66" s="376"/>
      <c r="F66" s="376">
        <f>'16 MO projection'!B71/12</f>
        <v>220.61556329849012</v>
      </c>
      <c r="G66" s="376">
        <f t="shared" si="8"/>
        <v>220.61556329849012</v>
      </c>
      <c r="H66" s="376">
        <f t="shared" si="10"/>
        <v>220.61556329849012</v>
      </c>
      <c r="I66" s="376">
        <f t="shared" si="10"/>
        <v>220.61556329849012</v>
      </c>
      <c r="J66" s="376">
        <f t="shared" si="10"/>
        <v>220.61556329849012</v>
      </c>
      <c r="K66" s="376">
        <f t="shared" si="10"/>
        <v>220.61556329849012</v>
      </c>
      <c r="L66" s="376">
        <f t="shared" si="10"/>
        <v>220.61556329849012</v>
      </c>
      <c r="M66" s="376">
        <f t="shared" si="10"/>
        <v>220.61556329849012</v>
      </c>
      <c r="N66" s="376">
        <f t="shared" si="10"/>
        <v>220.61556329849012</v>
      </c>
      <c r="O66" s="376">
        <f t="shared" si="10"/>
        <v>220.61556329849012</v>
      </c>
      <c r="P66" s="376">
        <f t="shared" si="10"/>
        <v>220.61556329849012</v>
      </c>
      <c r="Q66" s="376">
        <f t="shared" si="10"/>
        <v>220.61556329849012</v>
      </c>
    </row>
    <row r="67" spans="1:17" x14ac:dyDescent="0.2">
      <c r="A67" s="104" t="s">
        <v>34</v>
      </c>
      <c r="B67" s="376"/>
      <c r="C67" s="376"/>
      <c r="D67" s="376"/>
      <c r="E67" s="376"/>
      <c r="F67" s="376">
        <f>'16 MO projection'!B72/12</f>
        <v>0</v>
      </c>
      <c r="G67" s="376">
        <f t="shared" si="8"/>
        <v>0</v>
      </c>
      <c r="H67" s="376">
        <f t="shared" si="10"/>
        <v>0</v>
      </c>
      <c r="I67" s="376">
        <f t="shared" si="10"/>
        <v>0</v>
      </c>
      <c r="J67" s="376">
        <f t="shared" si="10"/>
        <v>0</v>
      </c>
      <c r="K67" s="376">
        <f t="shared" si="10"/>
        <v>0</v>
      </c>
      <c r="L67" s="376">
        <f t="shared" si="10"/>
        <v>0</v>
      </c>
      <c r="M67" s="376">
        <f t="shared" si="10"/>
        <v>0</v>
      </c>
      <c r="N67" s="376">
        <f t="shared" si="10"/>
        <v>0</v>
      </c>
      <c r="O67" s="376">
        <f t="shared" si="10"/>
        <v>0</v>
      </c>
      <c r="P67" s="376">
        <f t="shared" si="10"/>
        <v>0</v>
      </c>
      <c r="Q67" s="376">
        <f t="shared" si="10"/>
        <v>0</v>
      </c>
    </row>
    <row r="68" spans="1:17" x14ac:dyDescent="0.2">
      <c r="A68" s="217" t="s">
        <v>40</v>
      </c>
      <c r="B68" s="378">
        <f t="shared" ref="B68:E68" si="11">SUM(B26:B67)</f>
        <v>517828</v>
      </c>
      <c r="C68" s="378">
        <f t="shared" si="11"/>
        <v>517528</v>
      </c>
      <c r="D68" s="378">
        <f t="shared" si="11"/>
        <v>347253</v>
      </c>
      <c r="E68" s="378">
        <f t="shared" si="11"/>
        <v>346853</v>
      </c>
      <c r="F68" s="378">
        <f>SUM(F26:F67)</f>
        <v>414113.53599663184</v>
      </c>
      <c r="G68" s="378">
        <f t="shared" ref="G68:Q68" si="12">SUM(G26:G67)</f>
        <v>399213.53599663184</v>
      </c>
      <c r="H68" s="378">
        <f t="shared" si="12"/>
        <v>407613.53599663184</v>
      </c>
      <c r="I68" s="378">
        <f t="shared" si="12"/>
        <v>395613.53599663184</v>
      </c>
      <c r="J68" s="378">
        <f t="shared" si="12"/>
        <v>396113.53599663184</v>
      </c>
      <c r="K68" s="378">
        <f t="shared" si="12"/>
        <v>396613.53599663184</v>
      </c>
      <c r="L68" s="378">
        <f t="shared" si="12"/>
        <v>397113.53599663184</v>
      </c>
      <c r="M68" s="378">
        <f t="shared" si="12"/>
        <v>400438.53599663184</v>
      </c>
      <c r="N68" s="378">
        <f t="shared" si="12"/>
        <v>399363.53599663184</v>
      </c>
      <c r="O68" s="378">
        <f t="shared" si="12"/>
        <v>397113.53599663184</v>
      </c>
      <c r="P68" s="378">
        <f t="shared" si="12"/>
        <v>395613.53599663184</v>
      </c>
      <c r="Q68" s="378">
        <f t="shared" si="12"/>
        <v>395113.53599663184</v>
      </c>
    </row>
    <row r="69" spans="1:17" x14ac:dyDescent="0.2">
      <c r="A69" s="109"/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</row>
    <row r="70" spans="1:17" x14ac:dyDescent="0.2">
      <c r="A70" s="222" t="s">
        <v>82</v>
      </c>
      <c r="B70" s="380">
        <f t="shared" ref="B70:E70" si="13">B23-B68</f>
        <v>-208850</v>
      </c>
      <c r="C70" s="380">
        <f t="shared" si="13"/>
        <v>-208550</v>
      </c>
      <c r="D70" s="380">
        <f t="shared" si="13"/>
        <v>132152.5</v>
      </c>
      <c r="E70" s="380">
        <f t="shared" si="13"/>
        <v>132552.5</v>
      </c>
      <c r="F70" s="380">
        <f>F23-F68</f>
        <v>2666.4940227394691</v>
      </c>
      <c r="G70" s="380">
        <f t="shared" ref="G70:Q70" si="14">G23-G68</f>
        <v>39559.827356072783</v>
      </c>
      <c r="H70" s="380">
        <f t="shared" si="14"/>
        <v>20163.160689406097</v>
      </c>
      <c r="I70" s="380">
        <f t="shared" si="14"/>
        <v>32163.160689406097</v>
      </c>
      <c r="J70" s="380">
        <f t="shared" si="14"/>
        <v>20666.494022739469</v>
      </c>
      <c r="K70" s="380">
        <f t="shared" si="14"/>
        <v>14668.160689406097</v>
      </c>
      <c r="L70" s="380">
        <f t="shared" si="14"/>
        <v>14168.160689406097</v>
      </c>
      <c r="M70" s="380">
        <f t="shared" si="14"/>
        <v>10843.160689406097</v>
      </c>
      <c r="N70" s="380">
        <f t="shared" si="14"/>
        <v>11918.160689406097</v>
      </c>
      <c r="O70" s="380">
        <f t="shared" si="14"/>
        <v>14168.160689406097</v>
      </c>
      <c r="P70" s="380">
        <f t="shared" si="14"/>
        <v>15668.160689406097</v>
      </c>
      <c r="Q70" s="380">
        <f t="shared" si="14"/>
        <v>10669.827356072783</v>
      </c>
    </row>
    <row r="71" spans="1:17" x14ac:dyDescent="0.2">
      <c r="A71" s="108"/>
    </row>
    <row r="72" spans="1:17" x14ac:dyDescent="0.2">
      <c r="A72" s="109"/>
    </row>
  </sheetData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7"/>
  <sheetViews>
    <sheetView view="pageBreakPreview" zoomScaleNormal="100" zoomScaleSheetLayoutView="100" workbookViewId="0">
      <selection activeCell="C19" sqref="C19"/>
    </sheetView>
  </sheetViews>
  <sheetFormatPr defaultColWidth="11.42578125" defaultRowHeight="12.75" x14ac:dyDescent="0.2"/>
  <cols>
    <col min="1" max="1" width="20.7109375" style="11" customWidth="1"/>
    <col min="2" max="7" width="9.42578125" style="1" customWidth="1"/>
    <col min="8" max="16384" width="11.42578125" style="1"/>
  </cols>
  <sheetData>
    <row r="1" spans="1:14" s="144" customFormat="1" ht="18.75" x14ac:dyDescent="0.3">
      <c r="A1" s="145" t="str">
        <f>'Page 3-Assumptions'!A1</f>
        <v>Colorado Military Academy</v>
      </c>
    </row>
    <row r="2" spans="1:14" s="144" customFormat="1" ht="18.75" x14ac:dyDescent="0.3">
      <c r="A2" s="145" t="s">
        <v>129</v>
      </c>
    </row>
    <row r="3" spans="1:14" ht="15.75" x14ac:dyDescent="0.25">
      <c r="J3" s="144"/>
      <c r="K3" s="144"/>
      <c r="L3" s="144"/>
      <c r="M3" s="144"/>
      <c r="N3" s="144"/>
    </row>
    <row r="4" spans="1:14" ht="15.75" x14ac:dyDescent="0.25">
      <c r="A4" s="63"/>
      <c r="B4" s="388" t="s">
        <v>185</v>
      </c>
      <c r="C4" s="388"/>
      <c r="D4" s="388"/>
      <c r="E4" s="388"/>
      <c r="F4" s="388"/>
      <c r="G4" s="64"/>
      <c r="J4" s="144"/>
      <c r="K4" s="144"/>
      <c r="L4" s="144"/>
      <c r="M4" s="144"/>
      <c r="N4" s="144"/>
    </row>
    <row r="5" spans="1:14" ht="15.75" x14ac:dyDescent="0.25">
      <c r="A5" s="65"/>
      <c r="B5" s="12" t="s">
        <v>46</v>
      </c>
      <c r="C5" s="12" t="s">
        <v>47</v>
      </c>
      <c r="D5" s="12" t="s">
        <v>48</v>
      </c>
      <c r="E5" s="12" t="s">
        <v>49</v>
      </c>
      <c r="F5" s="12" t="s">
        <v>60</v>
      </c>
      <c r="G5" s="12" t="s">
        <v>446</v>
      </c>
      <c r="J5" s="144"/>
      <c r="K5" s="144"/>
      <c r="L5" s="144"/>
      <c r="M5" s="144"/>
      <c r="N5" s="144"/>
    </row>
    <row r="6" spans="1:14" ht="15.75" x14ac:dyDescent="0.25">
      <c r="A6" s="65" t="s">
        <v>150</v>
      </c>
      <c r="B6" s="235">
        <v>0</v>
      </c>
      <c r="C6" s="235">
        <v>0</v>
      </c>
      <c r="D6" s="235">
        <v>0</v>
      </c>
      <c r="E6" s="235">
        <v>0</v>
      </c>
      <c r="F6" s="235">
        <v>0</v>
      </c>
      <c r="G6" s="235">
        <v>0</v>
      </c>
      <c r="J6" s="144"/>
      <c r="K6" s="144"/>
      <c r="L6" s="144"/>
      <c r="M6" s="144"/>
      <c r="N6" s="144"/>
    </row>
    <row r="7" spans="1:14" ht="15.75" x14ac:dyDescent="0.25">
      <c r="A7" s="65" t="s">
        <v>80</v>
      </c>
      <c r="B7" s="235">
        <v>72</v>
      </c>
      <c r="C7" s="235">
        <v>65</v>
      </c>
      <c r="D7" s="235">
        <v>75</v>
      </c>
      <c r="E7" s="235">
        <v>77</v>
      </c>
      <c r="F7" s="235">
        <v>79</v>
      </c>
      <c r="G7" s="235">
        <v>80</v>
      </c>
      <c r="J7" s="144"/>
      <c r="K7" s="144"/>
      <c r="L7" s="144"/>
      <c r="M7" s="144"/>
      <c r="N7" s="144"/>
    </row>
    <row r="8" spans="1:14" ht="15.75" x14ac:dyDescent="0.25">
      <c r="A8" s="65">
        <v>1</v>
      </c>
      <c r="B8" s="235">
        <v>53</v>
      </c>
      <c r="C8" s="235">
        <v>55</v>
      </c>
      <c r="D8" s="235">
        <v>55</v>
      </c>
      <c r="E8" s="235">
        <v>70</v>
      </c>
      <c r="F8" s="235">
        <v>70</v>
      </c>
      <c r="G8" s="235">
        <v>70</v>
      </c>
      <c r="J8" s="144"/>
      <c r="K8" s="144"/>
      <c r="L8" s="144"/>
      <c r="M8" s="144"/>
      <c r="N8" s="144"/>
    </row>
    <row r="9" spans="1:14" ht="15.75" x14ac:dyDescent="0.25">
      <c r="A9" s="65">
        <v>2</v>
      </c>
      <c r="B9" s="235">
        <v>50</v>
      </c>
      <c r="C9" s="235">
        <v>50</v>
      </c>
      <c r="D9" s="235">
        <v>55</v>
      </c>
      <c r="E9" s="235">
        <v>53</v>
      </c>
      <c r="F9" s="235">
        <v>54</v>
      </c>
      <c r="G9" s="235">
        <v>55</v>
      </c>
      <c r="J9" s="144"/>
      <c r="K9" s="144"/>
      <c r="L9" s="144"/>
      <c r="M9" s="144"/>
      <c r="N9" s="144"/>
    </row>
    <row r="10" spans="1:14" ht="15.75" x14ac:dyDescent="0.25">
      <c r="A10" s="65">
        <v>3</v>
      </c>
      <c r="B10" s="235">
        <v>67</v>
      </c>
      <c r="C10" s="235">
        <v>45</v>
      </c>
      <c r="D10" s="235">
        <v>55</v>
      </c>
      <c r="E10" s="235">
        <v>68</v>
      </c>
      <c r="F10" s="235">
        <v>70</v>
      </c>
      <c r="G10" s="235">
        <v>71</v>
      </c>
      <c r="J10" s="144"/>
      <c r="K10" s="144"/>
      <c r="L10" s="144"/>
      <c r="M10" s="144"/>
      <c r="N10" s="144"/>
    </row>
    <row r="11" spans="1:14" ht="15.75" x14ac:dyDescent="0.25">
      <c r="A11" s="65">
        <v>4</v>
      </c>
      <c r="B11" s="235">
        <v>66</v>
      </c>
      <c r="C11" s="235">
        <v>50</v>
      </c>
      <c r="D11" s="235">
        <v>55</v>
      </c>
      <c r="E11" s="235">
        <v>65</v>
      </c>
      <c r="F11" s="235">
        <v>67</v>
      </c>
      <c r="G11" s="235">
        <v>70</v>
      </c>
      <c r="J11" s="144"/>
      <c r="K11" s="144"/>
      <c r="L11" s="144"/>
      <c r="M11" s="144"/>
      <c r="N11" s="144"/>
    </row>
    <row r="12" spans="1:14" ht="15.75" x14ac:dyDescent="0.25">
      <c r="A12" s="65">
        <v>5</v>
      </c>
      <c r="B12" s="235">
        <v>57</v>
      </c>
      <c r="C12" s="235">
        <v>50</v>
      </c>
      <c r="D12" s="235">
        <v>55</v>
      </c>
      <c r="E12" s="235">
        <v>61</v>
      </c>
      <c r="F12" s="235">
        <v>63</v>
      </c>
      <c r="G12" s="235">
        <v>64</v>
      </c>
      <c r="J12" s="144"/>
      <c r="K12" s="144"/>
      <c r="L12" s="144"/>
      <c r="M12" s="144"/>
      <c r="N12" s="144"/>
    </row>
    <row r="13" spans="1:14" ht="15.75" x14ac:dyDescent="0.25">
      <c r="A13" s="65">
        <v>6</v>
      </c>
      <c r="B13" s="235">
        <v>60</v>
      </c>
      <c r="C13" s="235">
        <v>45</v>
      </c>
      <c r="D13" s="235">
        <v>45</v>
      </c>
      <c r="E13" s="235">
        <v>64</v>
      </c>
      <c r="F13" s="235">
        <v>65</v>
      </c>
      <c r="G13" s="235">
        <v>66</v>
      </c>
      <c r="J13" s="144"/>
      <c r="K13" s="144"/>
      <c r="L13" s="144"/>
      <c r="M13" s="144"/>
      <c r="N13" s="144"/>
    </row>
    <row r="14" spans="1:14" ht="15.75" x14ac:dyDescent="0.25">
      <c r="A14" s="65">
        <v>7</v>
      </c>
      <c r="B14" s="235">
        <v>64</v>
      </c>
      <c r="C14" s="235">
        <v>50</v>
      </c>
      <c r="D14" s="235">
        <v>50</v>
      </c>
      <c r="E14" s="235">
        <v>68</v>
      </c>
      <c r="F14" s="235">
        <v>69</v>
      </c>
      <c r="G14" s="235">
        <v>70</v>
      </c>
      <c r="J14" s="144"/>
      <c r="K14" s="144"/>
      <c r="L14" s="144"/>
      <c r="M14" s="144"/>
      <c r="N14" s="144"/>
    </row>
    <row r="15" spans="1:14" ht="15.75" x14ac:dyDescent="0.25">
      <c r="A15" s="65">
        <v>8</v>
      </c>
      <c r="B15" s="235">
        <v>46</v>
      </c>
      <c r="C15" s="235">
        <v>40</v>
      </c>
      <c r="D15" s="235">
        <v>50</v>
      </c>
      <c r="E15" s="235">
        <v>52</v>
      </c>
      <c r="F15" s="235">
        <v>53</v>
      </c>
      <c r="G15" s="235">
        <v>54</v>
      </c>
      <c r="J15" s="144"/>
      <c r="K15" s="144"/>
      <c r="L15" s="144"/>
      <c r="M15" s="144"/>
      <c r="N15" s="144"/>
    </row>
    <row r="16" spans="1:14" ht="15.75" x14ac:dyDescent="0.25">
      <c r="A16" s="65">
        <v>9</v>
      </c>
      <c r="B16" s="235">
        <v>39</v>
      </c>
      <c r="C16" s="235">
        <v>30</v>
      </c>
      <c r="D16" s="235">
        <v>40</v>
      </c>
      <c r="E16" s="235">
        <v>39</v>
      </c>
      <c r="F16" s="235">
        <v>40</v>
      </c>
      <c r="G16" s="235">
        <v>40</v>
      </c>
      <c r="J16" s="144"/>
      <c r="K16" s="144"/>
      <c r="L16" s="144"/>
      <c r="M16" s="144"/>
      <c r="N16" s="144"/>
    </row>
    <row r="17" spans="1:14" ht="15.75" x14ac:dyDescent="0.25">
      <c r="A17" s="65">
        <v>10</v>
      </c>
      <c r="B17" s="235">
        <v>0</v>
      </c>
      <c r="C17" s="235">
        <v>20</v>
      </c>
      <c r="D17" s="235">
        <v>40</v>
      </c>
      <c r="E17" s="235">
        <v>43</v>
      </c>
      <c r="F17" s="235">
        <v>44</v>
      </c>
      <c r="G17" s="235">
        <v>45</v>
      </c>
      <c r="J17" s="144"/>
      <c r="K17" s="144"/>
      <c r="L17" s="144"/>
      <c r="M17" s="144"/>
      <c r="N17" s="144"/>
    </row>
    <row r="18" spans="1:14" ht="15.75" x14ac:dyDescent="0.25">
      <c r="A18" s="65">
        <v>11</v>
      </c>
      <c r="B18" s="235">
        <v>0</v>
      </c>
      <c r="C18" s="235">
        <v>24</v>
      </c>
      <c r="D18" s="235">
        <v>30</v>
      </c>
      <c r="E18" s="235">
        <v>46</v>
      </c>
      <c r="F18" s="235">
        <v>47</v>
      </c>
      <c r="G18" s="235">
        <v>48</v>
      </c>
      <c r="J18" s="144"/>
      <c r="K18" s="144"/>
      <c r="L18" s="144"/>
      <c r="M18" s="144"/>
      <c r="N18" s="144"/>
    </row>
    <row r="19" spans="1:14" ht="16.5" thickBot="1" x14ac:dyDescent="0.3">
      <c r="A19" s="65">
        <v>12</v>
      </c>
      <c r="B19" s="236">
        <v>0</v>
      </c>
      <c r="C19" s="236">
        <v>0</v>
      </c>
      <c r="D19" s="236">
        <v>0</v>
      </c>
      <c r="E19" s="236">
        <v>55</v>
      </c>
      <c r="F19" s="236">
        <v>56</v>
      </c>
      <c r="G19" s="236">
        <v>56</v>
      </c>
      <c r="J19" s="144"/>
      <c r="K19" s="144"/>
      <c r="L19" s="144"/>
      <c r="M19" s="144"/>
      <c r="N19" s="144"/>
    </row>
    <row r="20" spans="1:14" x14ac:dyDescent="0.2">
      <c r="A20" s="67" t="s">
        <v>81</v>
      </c>
      <c r="B20" s="186">
        <f t="shared" ref="B20:G20" si="0">SUM(B6:B19)</f>
        <v>574</v>
      </c>
      <c r="C20" s="186">
        <f t="shared" si="0"/>
        <v>524</v>
      </c>
      <c r="D20" s="186">
        <f t="shared" si="0"/>
        <v>605</v>
      </c>
      <c r="E20" s="186">
        <f t="shared" si="0"/>
        <v>761</v>
      </c>
      <c r="F20" s="186">
        <f t="shared" si="0"/>
        <v>777</v>
      </c>
      <c r="G20" s="186">
        <f t="shared" si="0"/>
        <v>789</v>
      </c>
    </row>
    <row r="21" spans="1:14" x14ac:dyDescent="0.2">
      <c r="A21" s="67"/>
      <c r="B21" s="14"/>
      <c r="C21" s="14"/>
      <c r="D21" s="14"/>
      <c r="E21" s="14"/>
      <c r="F21" s="14"/>
      <c r="G21" s="14"/>
    </row>
    <row r="22" spans="1:14" x14ac:dyDescent="0.2">
      <c r="A22" s="67" t="s">
        <v>161</v>
      </c>
      <c r="B22" s="13">
        <f t="shared" ref="B22" si="1">(B7*0.58)+SUM(B8:B19)</f>
        <v>543.76</v>
      </c>
      <c r="C22" s="13">
        <f>SUM(C7:C19)</f>
        <v>524</v>
      </c>
      <c r="D22" s="13">
        <f t="shared" ref="D22:G22" si="2">SUM(D7:D19)</f>
        <v>605</v>
      </c>
      <c r="E22" s="13">
        <f t="shared" si="2"/>
        <v>761</v>
      </c>
      <c r="F22" s="13">
        <f t="shared" si="2"/>
        <v>777</v>
      </c>
      <c r="G22" s="13">
        <f t="shared" si="2"/>
        <v>789</v>
      </c>
    </row>
    <row r="23" spans="1:14" x14ac:dyDescent="0.2">
      <c r="A23" s="204" t="s">
        <v>162</v>
      </c>
      <c r="B23" s="68"/>
      <c r="C23" s="68"/>
      <c r="D23" s="68"/>
      <c r="E23" s="68"/>
      <c r="F23" s="68"/>
      <c r="G23" s="68"/>
    </row>
    <row r="25" spans="1:14" x14ac:dyDescent="0.2">
      <c r="A25" s="142"/>
      <c r="B25" s="143"/>
      <c r="C25" s="143"/>
      <c r="D25" s="143"/>
      <c r="E25" s="143"/>
      <c r="F25" s="143"/>
      <c r="G25" s="143"/>
    </row>
    <row r="26" spans="1:14" x14ac:dyDescent="0.2">
      <c r="A26" s="142"/>
      <c r="B26" s="143"/>
      <c r="C26" s="143"/>
      <c r="D26" s="143"/>
      <c r="E26" s="143"/>
      <c r="F26" s="143"/>
      <c r="G26" s="143"/>
    </row>
    <row r="27" spans="1:14" x14ac:dyDescent="0.2">
      <c r="A27" s="142"/>
      <c r="B27" s="143"/>
      <c r="C27" s="143"/>
      <c r="D27" s="143"/>
      <c r="E27" s="143"/>
      <c r="F27" s="143"/>
      <c r="G27" s="143"/>
    </row>
  </sheetData>
  <mergeCells count="1">
    <mergeCell ref="B4:F4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103"/>
  <sheetViews>
    <sheetView view="pageBreakPreview" zoomScale="90" zoomScaleNormal="85" zoomScaleSheetLayoutView="90" workbookViewId="0">
      <selection activeCell="D25" sqref="D25"/>
    </sheetView>
  </sheetViews>
  <sheetFormatPr defaultColWidth="11.42578125" defaultRowHeight="12.75" x14ac:dyDescent="0.2"/>
  <cols>
    <col min="1" max="1" width="33.28515625" style="1" customWidth="1"/>
    <col min="2" max="2" width="13" style="1" hidden="1" customWidth="1"/>
    <col min="3" max="3" width="16.140625" style="1" bestFit="1" customWidth="1"/>
    <col min="4" max="4" width="15.5703125" style="1" bestFit="1" customWidth="1"/>
    <col min="5" max="5" width="16.28515625" style="1" bestFit="1" customWidth="1"/>
    <col min="6" max="6" width="15.85546875" style="9" bestFit="1" customWidth="1"/>
    <col min="7" max="7" width="15.42578125" style="9" bestFit="1" customWidth="1"/>
    <col min="8" max="8" width="14.140625" style="1" customWidth="1"/>
    <col min="9" max="9" width="10.7109375" style="1" customWidth="1"/>
    <col min="10" max="10" width="1.7109375" style="1" customWidth="1"/>
    <col min="11" max="34" width="9.140625" style="1" customWidth="1"/>
    <col min="35" max="16384" width="11.42578125" style="1"/>
  </cols>
  <sheetData>
    <row r="1" spans="1:34" ht="18.75" x14ac:dyDescent="0.3">
      <c r="A1" s="92" t="str">
        <f>'Page 3-Assumptions'!A1</f>
        <v>Colorado Military Academy</v>
      </c>
      <c r="E1" s="250" t="s">
        <v>178</v>
      </c>
      <c r="F1" s="250"/>
      <c r="G1" s="250"/>
      <c r="H1" s="250"/>
      <c r="I1" s="250"/>
    </row>
    <row r="2" spans="1:34" ht="18.75" x14ac:dyDescent="0.3">
      <c r="A2" s="92" t="s">
        <v>130</v>
      </c>
      <c r="F2" s="1"/>
      <c r="G2" s="1"/>
    </row>
    <row r="3" spans="1:34" x14ac:dyDescent="0.2">
      <c r="F3" s="1"/>
      <c r="G3" s="1"/>
    </row>
    <row r="4" spans="1:34" s="6" customFormat="1" ht="18.75" customHeight="1" x14ac:dyDescent="0.2">
      <c r="A4" s="147"/>
      <c r="B4" s="146" t="str">
        <f>'Page 10-6 yr Budget-detail'!B4</f>
        <v>YEAR 0</v>
      </c>
      <c r="C4" s="146" t="str">
        <f>'Page 10-6 yr Budget-detail'!C4</f>
        <v>YEAR 1</v>
      </c>
      <c r="D4" s="146" t="str">
        <f>'Page 10-6 yr Budget-detail'!D4</f>
        <v>YEAR 2</v>
      </c>
      <c r="E4" s="146" t="str">
        <f>'Page 10-6 yr Budget-detail'!E4</f>
        <v>YEAR 3</v>
      </c>
      <c r="F4" s="146" t="str">
        <f>'Page 10-6 yr Budget-detail'!F4</f>
        <v>YEAR 4</v>
      </c>
      <c r="G4" s="146" t="str">
        <f>'Page 10-6 yr Budget-detail'!G4</f>
        <v>YEAR 5</v>
      </c>
      <c r="H4" s="148"/>
      <c r="I4" s="389" t="s">
        <v>52</v>
      </c>
      <c r="J4" s="149"/>
    </row>
    <row r="5" spans="1:34" ht="19.5" customHeight="1" x14ac:dyDescent="0.2">
      <c r="A5" s="169" t="s">
        <v>207</v>
      </c>
      <c r="B5" s="170" t="str">
        <f>'Page 4-Year 0'!E6</f>
        <v>N/A</v>
      </c>
      <c r="C5" s="185">
        <f>'Page 5-Year 1'!E5</f>
        <v>574</v>
      </c>
      <c r="D5" s="185">
        <f>'Page 6-Year 2'!E5</f>
        <v>524</v>
      </c>
      <c r="E5" s="185">
        <f>'Page 7-Year 3'!E5</f>
        <v>605</v>
      </c>
      <c r="F5" s="185">
        <f>'Page 8-Year 4'!E5</f>
        <v>761</v>
      </c>
      <c r="G5" s="185">
        <f>'Page 9-Year 5'!E5</f>
        <v>777</v>
      </c>
      <c r="H5" s="110"/>
      <c r="I5" s="390"/>
      <c r="J5" s="66"/>
    </row>
    <row r="6" spans="1:34" s="7" customFormat="1" x14ac:dyDescent="0.2">
      <c r="A6" s="237" t="s">
        <v>270</v>
      </c>
      <c r="B6" s="244">
        <v>0</v>
      </c>
      <c r="C6" s="244">
        <v>4</v>
      </c>
      <c r="D6" s="244">
        <v>3</v>
      </c>
      <c r="E6" s="244">
        <v>4</v>
      </c>
      <c r="F6" s="244">
        <f t="shared" ref="E6:F10" si="0">E6</f>
        <v>4</v>
      </c>
      <c r="G6" s="266">
        <f>F6</f>
        <v>4</v>
      </c>
      <c r="H6" s="33"/>
      <c r="I6" s="240">
        <v>35000</v>
      </c>
      <c r="J6" s="150"/>
    </row>
    <row r="7" spans="1:34" s="7" customFormat="1" x14ac:dyDescent="0.2">
      <c r="A7" s="237" t="s">
        <v>283</v>
      </c>
      <c r="B7" s="244">
        <v>0</v>
      </c>
      <c r="C7" s="244">
        <v>12</v>
      </c>
      <c r="D7" s="244">
        <v>12</v>
      </c>
      <c r="E7" s="244">
        <v>13</v>
      </c>
      <c r="F7" s="244">
        <v>15</v>
      </c>
      <c r="G7" s="266">
        <v>15</v>
      </c>
      <c r="H7" s="33"/>
      <c r="I7" s="241">
        <v>36500</v>
      </c>
      <c r="J7" s="150"/>
    </row>
    <row r="8" spans="1:34" s="7" customFormat="1" x14ac:dyDescent="0.2">
      <c r="A8" s="238" t="s">
        <v>284</v>
      </c>
      <c r="B8" s="244">
        <v>0</v>
      </c>
      <c r="C8" s="244">
        <v>4</v>
      </c>
      <c r="D8" s="244">
        <v>4</v>
      </c>
      <c r="E8" s="244">
        <v>4</v>
      </c>
      <c r="F8" s="244">
        <f t="shared" si="0"/>
        <v>4</v>
      </c>
      <c r="G8" s="266">
        <f>F8</f>
        <v>4</v>
      </c>
      <c r="H8" s="215"/>
      <c r="I8" s="241">
        <v>36500</v>
      </c>
      <c r="J8" s="150"/>
    </row>
    <row r="9" spans="1:34" x14ac:dyDescent="0.2">
      <c r="A9" s="237" t="s">
        <v>271</v>
      </c>
      <c r="B9" s="244">
        <v>0</v>
      </c>
      <c r="C9" s="244">
        <v>14</v>
      </c>
      <c r="D9" s="244">
        <v>13</v>
      </c>
      <c r="E9" s="244">
        <v>15</v>
      </c>
      <c r="F9" s="244">
        <v>18</v>
      </c>
      <c r="G9" s="266">
        <v>18</v>
      </c>
      <c r="H9" s="14"/>
      <c r="I9" s="241">
        <v>36500</v>
      </c>
      <c r="J9" s="150"/>
    </row>
    <row r="10" spans="1:34" x14ac:dyDescent="0.2">
      <c r="A10" s="237" t="s">
        <v>272</v>
      </c>
      <c r="B10" s="244">
        <v>0</v>
      </c>
      <c r="C10" s="244">
        <v>4</v>
      </c>
      <c r="D10" s="244">
        <v>4</v>
      </c>
      <c r="E10" s="244">
        <f t="shared" si="0"/>
        <v>4</v>
      </c>
      <c r="F10" s="244">
        <v>5</v>
      </c>
      <c r="G10" s="266">
        <f>F10</f>
        <v>5</v>
      </c>
      <c r="H10" s="14"/>
      <c r="I10" s="241">
        <v>38000</v>
      </c>
      <c r="J10" s="150"/>
    </row>
    <row r="11" spans="1:34" x14ac:dyDescent="0.2">
      <c r="A11" s="237" t="s">
        <v>302</v>
      </c>
      <c r="B11" s="244">
        <v>0</v>
      </c>
      <c r="C11" s="244">
        <v>0.5</v>
      </c>
      <c r="D11" s="244">
        <v>1</v>
      </c>
      <c r="E11" s="244">
        <v>1</v>
      </c>
      <c r="F11" s="244">
        <v>2</v>
      </c>
      <c r="G11" s="266">
        <v>2</v>
      </c>
      <c r="H11" s="14"/>
      <c r="I11" s="241">
        <v>36000</v>
      </c>
      <c r="J11" s="150"/>
    </row>
    <row r="12" spans="1:34" x14ac:dyDescent="0.2">
      <c r="A12" s="238"/>
      <c r="B12" s="244"/>
      <c r="C12" s="244"/>
      <c r="D12" s="266"/>
      <c r="E12" s="267"/>
      <c r="F12" s="244"/>
      <c r="G12" s="266"/>
      <c r="H12" s="14"/>
      <c r="I12" s="241"/>
      <c r="J12" s="150"/>
    </row>
    <row r="13" spans="1:34" x14ac:dyDescent="0.2">
      <c r="A13" s="238"/>
      <c r="B13" s="244"/>
      <c r="C13" s="244"/>
      <c r="D13" s="266"/>
      <c r="E13" s="267"/>
      <c r="F13" s="244"/>
      <c r="G13" s="266"/>
      <c r="H13" s="14"/>
      <c r="I13" s="241"/>
      <c r="J13" s="150"/>
    </row>
    <row r="14" spans="1:34" x14ac:dyDescent="0.2">
      <c r="A14" s="239"/>
      <c r="B14" s="266"/>
      <c r="C14" s="266"/>
      <c r="D14" s="266"/>
      <c r="E14" s="266"/>
      <c r="F14" s="266"/>
      <c r="G14" s="266"/>
      <c r="H14" s="14"/>
      <c r="I14" s="242"/>
      <c r="J14" s="150"/>
      <c r="K14" s="1" t="s">
        <v>76</v>
      </c>
    </row>
    <row r="15" spans="1:34" s="8" customFormat="1" x14ac:dyDescent="0.2">
      <c r="A15" s="151" t="s">
        <v>208</v>
      </c>
      <c r="B15" s="268">
        <f t="shared" ref="B15:G15" si="1">SUM(B6:B14)</f>
        <v>0</v>
      </c>
      <c r="C15" s="268">
        <f t="shared" si="1"/>
        <v>38.5</v>
      </c>
      <c r="D15" s="268">
        <f t="shared" si="1"/>
        <v>37</v>
      </c>
      <c r="E15" s="268">
        <f t="shared" si="1"/>
        <v>41</v>
      </c>
      <c r="F15" s="268">
        <f t="shared" si="1"/>
        <v>48</v>
      </c>
      <c r="G15" s="268">
        <f t="shared" si="1"/>
        <v>48</v>
      </c>
      <c r="H15" s="14"/>
      <c r="I15" s="35"/>
      <c r="J15" s="15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">
      <c r="A16" s="126"/>
      <c r="B16" s="33"/>
      <c r="C16" s="33"/>
      <c r="D16" s="33"/>
      <c r="E16" s="33"/>
      <c r="F16" s="33"/>
      <c r="G16" s="33"/>
      <c r="H16" s="14"/>
      <c r="I16" s="35"/>
      <c r="J16" s="150"/>
    </row>
    <row r="17" spans="1:34" s="7" customFormat="1" ht="15.75" customHeight="1" x14ac:dyDescent="0.2">
      <c r="A17" s="169" t="s">
        <v>53</v>
      </c>
      <c r="B17" s="171" t="str">
        <f t="shared" ref="B17:G17" si="2">B5</f>
        <v>N/A</v>
      </c>
      <c r="C17" s="185">
        <f t="shared" si="2"/>
        <v>574</v>
      </c>
      <c r="D17" s="185">
        <f t="shared" si="2"/>
        <v>524</v>
      </c>
      <c r="E17" s="185">
        <f t="shared" si="2"/>
        <v>605</v>
      </c>
      <c r="F17" s="185">
        <f t="shared" si="2"/>
        <v>761</v>
      </c>
      <c r="G17" s="203">
        <f t="shared" si="2"/>
        <v>777</v>
      </c>
      <c r="H17" s="33"/>
      <c r="I17" s="36"/>
      <c r="J17" s="150"/>
    </row>
    <row r="18" spans="1:34" x14ac:dyDescent="0.2">
      <c r="A18" s="237" t="s">
        <v>285</v>
      </c>
      <c r="B18" s="244">
        <v>0.5</v>
      </c>
      <c r="C18" s="265">
        <v>3.5</v>
      </c>
      <c r="D18" s="265">
        <v>2.4</v>
      </c>
      <c r="E18" s="266">
        <v>3</v>
      </c>
      <c r="F18" s="244">
        <v>5</v>
      </c>
      <c r="G18" s="266">
        <v>5</v>
      </c>
      <c r="H18" s="34"/>
      <c r="I18" s="240">
        <v>90000</v>
      </c>
      <c r="J18" s="150"/>
    </row>
    <row r="19" spans="1:34" x14ac:dyDescent="0.2">
      <c r="A19" s="238" t="s">
        <v>287</v>
      </c>
      <c r="B19" s="244">
        <v>0.19</v>
      </c>
      <c r="C19" s="244">
        <v>2</v>
      </c>
      <c r="D19" s="244">
        <v>5</v>
      </c>
      <c r="E19" s="266">
        <v>5</v>
      </c>
      <c r="F19" s="244">
        <v>4</v>
      </c>
      <c r="G19" s="266">
        <f>F19</f>
        <v>4</v>
      </c>
      <c r="H19" s="34"/>
      <c r="I19" s="241">
        <v>65000</v>
      </c>
      <c r="J19" s="150"/>
      <c r="L19" s="1" t="s">
        <v>76</v>
      </c>
    </row>
    <row r="20" spans="1:34" x14ac:dyDescent="0.2">
      <c r="A20" s="243" t="s">
        <v>275</v>
      </c>
      <c r="B20" s="244"/>
      <c r="C20" s="244">
        <v>1</v>
      </c>
      <c r="D20" s="244">
        <v>1</v>
      </c>
      <c r="E20" s="266">
        <f t="shared" ref="E20:G20" si="3">D20</f>
        <v>1</v>
      </c>
      <c r="F20" s="244">
        <f t="shared" si="3"/>
        <v>1</v>
      </c>
      <c r="G20" s="266">
        <f t="shared" si="3"/>
        <v>1</v>
      </c>
      <c r="H20" s="34"/>
      <c r="I20" s="241">
        <v>50000</v>
      </c>
      <c r="J20" s="150"/>
    </row>
    <row r="21" spans="1:34" x14ac:dyDescent="0.2">
      <c r="A21" s="238" t="s">
        <v>276</v>
      </c>
      <c r="B21" s="244"/>
      <c r="C21" s="244">
        <v>1</v>
      </c>
      <c r="D21" s="266">
        <v>0</v>
      </c>
      <c r="E21" s="266">
        <f t="shared" ref="E21:G21" si="4">D21</f>
        <v>0</v>
      </c>
      <c r="F21" s="244">
        <f t="shared" si="4"/>
        <v>0</v>
      </c>
      <c r="G21" s="266">
        <f t="shared" si="4"/>
        <v>0</v>
      </c>
      <c r="H21" s="34" t="s">
        <v>76</v>
      </c>
      <c r="I21" s="241">
        <v>0</v>
      </c>
      <c r="J21" s="150"/>
    </row>
    <row r="22" spans="1:34" x14ac:dyDescent="0.2">
      <c r="A22" s="238" t="s">
        <v>288</v>
      </c>
      <c r="B22" s="244"/>
      <c r="C22" s="266">
        <v>0</v>
      </c>
      <c r="D22" s="266">
        <v>0</v>
      </c>
      <c r="E22" s="266">
        <v>1</v>
      </c>
      <c r="F22" s="244">
        <f t="shared" ref="F22:G22" si="5">E22</f>
        <v>1</v>
      </c>
      <c r="G22" s="266">
        <f t="shared" si="5"/>
        <v>1</v>
      </c>
      <c r="H22" s="34"/>
      <c r="I22" s="241">
        <v>40000</v>
      </c>
      <c r="J22" s="150"/>
    </row>
    <row r="23" spans="1:34" x14ac:dyDescent="0.2">
      <c r="A23" s="238" t="s">
        <v>273</v>
      </c>
      <c r="B23" s="244"/>
      <c r="C23" s="266">
        <v>1</v>
      </c>
      <c r="D23" s="266">
        <v>1</v>
      </c>
      <c r="E23" s="266">
        <v>1</v>
      </c>
      <c r="F23" s="244">
        <f t="shared" ref="F23:G23" si="6">E23</f>
        <v>1</v>
      </c>
      <c r="G23" s="266">
        <f t="shared" si="6"/>
        <v>1</v>
      </c>
      <c r="H23" s="34"/>
      <c r="I23" s="241">
        <v>36000</v>
      </c>
      <c r="J23" s="150"/>
    </row>
    <row r="24" spans="1:34" x14ac:dyDescent="0.2">
      <c r="A24" s="238" t="s">
        <v>277</v>
      </c>
      <c r="B24" s="244">
        <v>0.38</v>
      </c>
      <c r="C24" s="244">
        <v>6</v>
      </c>
      <c r="D24" s="266">
        <v>5</v>
      </c>
      <c r="E24" s="266">
        <v>7</v>
      </c>
      <c r="F24" s="244">
        <v>6</v>
      </c>
      <c r="G24" s="266">
        <v>6</v>
      </c>
      <c r="H24" s="34"/>
      <c r="I24" s="241">
        <v>30000</v>
      </c>
      <c r="J24" s="150"/>
    </row>
    <row r="25" spans="1:34" x14ac:dyDescent="0.2">
      <c r="A25" s="238" t="s">
        <v>286</v>
      </c>
      <c r="B25" s="244"/>
      <c r="C25" s="244">
        <v>15</v>
      </c>
      <c r="D25" s="266">
        <v>7</v>
      </c>
      <c r="E25" s="266">
        <v>9</v>
      </c>
      <c r="F25" s="266">
        <v>14</v>
      </c>
      <c r="G25" s="266">
        <v>16</v>
      </c>
      <c r="H25" s="34"/>
      <c r="I25" s="241">
        <v>18000</v>
      </c>
      <c r="J25" s="150"/>
    </row>
    <row r="26" spans="1:34" x14ac:dyDescent="0.2">
      <c r="A26" s="238" t="s">
        <v>274</v>
      </c>
      <c r="B26" s="244"/>
      <c r="C26" s="244">
        <v>2</v>
      </c>
      <c r="D26" s="266">
        <v>1</v>
      </c>
      <c r="E26" s="266">
        <v>2</v>
      </c>
      <c r="F26" s="244">
        <f t="shared" ref="F26" si="7">E26</f>
        <v>2</v>
      </c>
      <c r="G26" s="266">
        <f t="shared" ref="G26" si="8">F26</f>
        <v>2</v>
      </c>
      <c r="H26" s="34"/>
      <c r="I26" s="241">
        <v>28000</v>
      </c>
      <c r="J26" s="150"/>
    </row>
    <row r="27" spans="1:34" x14ac:dyDescent="0.2">
      <c r="A27" s="180" t="s">
        <v>135</v>
      </c>
      <c r="B27" s="181"/>
      <c r="C27" s="182"/>
      <c r="D27" s="183"/>
      <c r="E27" s="184"/>
      <c r="F27" s="182"/>
      <c r="G27" s="183"/>
      <c r="H27" s="34"/>
      <c r="I27" s="162"/>
      <c r="J27" s="150"/>
    </row>
    <row r="28" spans="1:34" x14ac:dyDescent="0.2">
      <c r="A28" s="164" t="s">
        <v>278</v>
      </c>
      <c r="B28" s="160"/>
      <c r="C28" s="308">
        <v>0</v>
      </c>
      <c r="D28" s="161">
        <v>0</v>
      </c>
      <c r="E28" s="166">
        <v>0</v>
      </c>
      <c r="F28" s="165">
        <v>0</v>
      </c>
      <c r="G28" s="161">
        <v>0</v>
      </c>
      <c r="H28" s="34"/>
      <c r="I28" s="162">
        <v>1000</v>
      </c>
      <c r="J28" s="150"/>
    </row>
    <row r="29" spans="1:34" x14ac:dyDescent="0.2">
      <c r="A29" s="238" t="s">
        <v>282</v>
      </c>
      <c r="B29" s="244"/>
      <c r="C29" s="244">
        <v>3</v>
      </c>
      <c r="D29" s="266">
        <f t="shared" ref="D29:G29" si="9">C29</f>
        <v>3</v>
      </c>
      <c r="E29" s="266">
        <f t="shared" si="9"/>
        <v>3</v>
      </c>
      <c r="F29" s="244">
        <f t="shared" si="9"/>
        <v>3</v>
      </c>
      <c r="G29" s="266">
        <f t="shared" si="9"/>
        <v>3</v>
      </c>
      <c r="H29" s="34"/>
      <c r="I29" s="163">
        <f>3*15*200</f>
        <v>9000</v>
      </c>
      <c r="J29" s="150"/>
    </row>
    <row r="30" spans="1:34" s="8" customFormat="1" x14ac:dyDescent="0.2">
      <c r="A30" s="152" t="s">
        <v>79</v>
      </c>
      <c r="B30" s="268">
        <f t="shared" ref="B30:G30" si="10">SUM(B18:B26)</f>
        <v>1.0699999999999998</v>
      </c>
      <c r="C30" s="268">
        <f t="shared" si="10"/>
        <v>31.5</v>
      </c>
      <c r="D30" s="268">
        <f t="shared" si="10"/>
        <v>22.4</v>
      </c>
      <c r="E30" s="268">
        <f t="shared" si="10"/>
        <v>29</v>
      </c>
      <c r="F30" s="268">
        <f t="shared" si="10"/>
        <v>34</v>
      </c>
      <c r="G30" s="268">
        <f t="shared" si="10"/>
        <v>36</v>
      </c>
      <c r="H30" s="14"/>
      <c r="I30" s="14"/>
      <c r="J30" s="66"/>
      <c r="K30" s="1"/>
      <c r="L30" s="7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126"/>
      <c r="B31" s="14"/>
      <c r="C31" s="14"/>
      <c r="D31" s="14"/>
      <c r="E31" s="14"/>
      <c r="F31" s="14"/>
      <c r="G31" s="14"/>
      <c r="H31" s="14"/>
      <c r="I31" s="14"/>
      <c r="J31" s="66"/>
    </row>
    <row r="32" spans="1:34" s="7" customFormat="1" x14ac:dyDescent="0.2">
      <c r="A32" s="167" t="s">
        <v>78</v>
      </c>
      <c r="B32" s="168">
        <f>(SUMPRODUCT(B6:B14,$I6:$I14))+(SUMPRODUCT(B18:B29,$I18:$I29))</f>
        <v>68750</v>
      </c>
      <c r="C32" s="167">
        <f>(SUMPRODUCT(C6:C14,$I6:$I14)*(1+$I32))+(SUMPRODUCT(C18:C29,$I18:$I29)*(1+$I32))</f>
        <v>2518380</v>
      </c>
      <c r="D32" s="167">
        <f>(SUMPRODUCT(D6:D14,$I6:$I14)*(1+($I32*2))+(SUMPRODUCT(D18:D29,$I18:$I29)*(1+($I32*2))))</f>
        <v>2401880</v>
      </c>
      <c r="E32" s="167">
        <f>(SUMPRODUCT(E6:E14,$I6:$I14)*(1+($I32*3))+(SUMPRODUCT(E18:E29,$I18:$I29)*(1+($I32*3))))</f>
        <v>2832320</v>
      </c>
      <c r="F32" s="167">
        <f>(SUMPRODUCT(F6:F14,$I6:$I14)*(1+($I32*4))+(SUMPRODUCT(F18:F29,$I18:$I29)*(1+($I32*4))))</f>
        <v>3351780</v>
      </c>
      <c r="G32" s="167">
        <f>(SUMPRODUCT(G6:G14,$I6:$I14)*(1+($I32*5))+(SUMPRODUCT(G18:G29,$I18:$I29)*(1+($I32*5))))</f>
        <v>3453450.0000000005</v>
      </c>
      <c r="H32" s="33"/>
      <c r="I32" s="172">
        <v>0.02</v>
      </c>
      <c r="J32" s="153"/>
      <c r="K32" s="294" t="s">
        <v>137</v>
      </c>
    </row>
    <row r="33" spans="1:10" x14ac:dyDescent="0.2">
      <c r="A33" s="126"/>
      <c r="B33" s="85"/>
      <c r="C33" s="85"/>
      <c r="D33" s="85"/>
      <c r="E33" s="85"/>
      <c r="F33" s="85"/>
      <c r="G33" s="85"/>
      <c r="H33" s="14"/>
      <c r="I33" s="14" t="s">
        <v>91</v>
      </c>
      <c r="J33" s="66"/>
    </row>
    <row r="34" spans="1:10" x14ac:dyDescent="0.2">
      <c r="A34" s="126"/>
      <c r="B34" s="14"/>
      <c r="C34" s="14"/>
      <c r="D34" s="14"/>
      <c r="E34" s="14"/>
      <c r="F34" s="14"/>
      <c r="G34" s="14"/>
      <c r="H34" s="14"/>
      <c r="I34" s="14"/>
      <c r="J34" s="66"/>
    </row>
    <row r="35" spans="1:10" x14ac:dyDescent="0.2">
      <c r="A35" s="151" t="s">
        <v>54</v>
      </c>
      <c r="B35" s="220">
        <f>B15</f>
        <v>0</v>
      </c>
      <c r="C35" s="220">
        <f>C15-C14</f>
        <v>38.5</v>
      </c>
      <c r="D35" s="220">
        <f>D15-D14</f>
        <v>37</v>
      </c>
      <c r="E35" s="220">
        <f>E15-E14</f>
        <v>41</v>
      </c>
      <c r="F35" s="220">
        <f>F15-F14</f>
        <v>48</v>
      </c>
      <c r="G35" s="220">
        <f>G15-G14</f>
        <v>48</v>
      </c>
      <c r="H35" s="14"/>
      <c r="I35" s="14"/>
      <c r="J35" s="66"/>
    </row>
    <row r="36" spans="1:10" ht="13.5" thickBot="1" x14ac:dyDescent="0.25">
      <c r="A36" s="154" t="s">
        <v>55</v>
      </c>
      <c r="B36" s="86">
        <f t="shared" ref="B36:G36" si="11">B30</f>
        <v>1.0699999999999998</v>
      </c>
      <c r="C36" s="86">
        <f t="shared" si="11"/>
        <v>31.5</v>
      </c>
      <c r="D36" s="86">
        <f t="shared" si="11"/>
        <v>22.4</v>
      </c>
      <c r="E36" s="86">
        <f t="shared" si="11"/>
        <v>29</v>
      </c>
      <c r="F36" s="86">
        <f t="shared" si="11"/>
        <v>34</v>
      </c>
      <c r="G36" s="86">
        <f t="shared" si="11"/>
        <v>36</v>
      </c>
      <c r="H36" s="14"/>
      <c r="I36" s="14"/>
      <c r="J36" s="66"/>
    </row>
    <row r="37" spans="1:10" x14ac:dyDescent="0.2">
      <c r="A37" s="155" t="s">
        <v>56</v>
      </c>
      <c r="B37" s="87">
        <f t="shared" ref="B37:G37" si="12">SUM(B35:B36)</f>
        <v>1.0699999999999998</v>
      </c>
      <c r="C37" s="87">
        <f t="shared" si="12"/>
        <v>70</v>
      </c>
      <c r="D37" s="87">
        <f t="shared" si="12"/>
        <v>59.4</v>
      </c>
      <c r="E37" s="87">
        <f t="shared" si="12"/>
        <v>70</v>
      </c>
      <c r="F37" s="87">
        <f t="shared" si="12"/>
        <v>82</v>
      </c>
      <c r="G37" s="87">
        <f t="shared" si="12"/>
        <v>84</v>
      </c>
      <c r="H37" s="14"/>
      <c r="I37" s="14"/>
      <c r="J37" s="66"/>
    </row>
    <row r="38" spans="1:10" ht="13.5" customHeight="1" x14ac:dyDescent="0.2">
      <c r="A38" s="110"/>
      <c r="B38" s="14"/>
      <c r="C38" s="14"/>
      <c r="D38" s="14"/>
      <c r="E38" s="14"/>
      <c r="F38" s="14"/>
      <c r="G38" s="14"/>
      <c r="H38" s="14"/>
      <c r="I38" s="14"/>
      <c r="J38" s="66"/>
    </row>
    <row r="39" spans="1:10" x14ac:dyDescent="0.2">
      <c r="A39" s="126" t="s">
        <v>57</v>
      </c>
      <c r="B39" s="37"/>
      <c r="C39" s="37" t="str">
        <f>(ROUND(C5/(C35),0)&amp;":1")</f>
        <v>15:1</v>
      </c>
      <c r="D39" s="37" t="str">
        <f>(ROUND(D5/(D35),0)&amp;":1")</f>
        <v>14:1</v>
      </c>
      <c r="E39" s="37" t="str">
        <f>(ROUND(E5/(E35),0)&amp;":1")</f>
        <v>15:1</v>
      </c>
      <c r="F39" s="37" t="str">
        <f>(ROUND(F5/(F35),0)&amp;":1")</f>
        <v>16:1</v>
      </c>
      <c r="G39" s="37" t="str">
        <f>(ROUND(G5/(G35),0)&amp;":1")</f>
        <v>16:1</v>
      </c>
      <c r="H39" s="14"/>
      <c r="I39" s="14"/>
      <c r="J39" s="66"/>
    </row>
    <row r="40" spans="1:10" x14ac:dyDescent="0.2">
      <c r="A40" s="126" t="s">
        <v>58</v>
      </c>
      <c r="B40" s="37"/>
      <c r="C40" s="37" t="str">
        <f>(ROUND(C5/(C37),0)&amp;":1")</f>
        <v>8:1</v>
      </c>
      <c r="D40" s="37" t="str">
        <f>(ROUND(D5/(D37),0)&amp;":1")</f>
        <v>9:1</v>
      </c>
      <c r="E40" s="37" t="str">
        <f>(ROUND(E5/(E37),0)&amp;":1")</f>
        <v>9:1</v>
      </c>
      <c r="F40" s="37" t="str">
        <f>(ROUND(F5/(F37),0)&amp;":1")</f>
        <v>9:1</v>
      </c>
      <c r="G40" s="37" t="str">
        <f>(ROUND(G5/(G37),0)&amp;":1")</f>
        <v>9:1</v>
      </c>
      <c r="H40" s="14"/>
      <c r="I40" s="14"/>
      <c r="J40" s="66"/>
    </row>
    <row r="41" spans="1:10" ht="8.25" customHeight="1" x14ac:dyDescent="0.2">
      <c r="A41" s="156"/>
      <c r="B41" s="68"/>
      <c r="C41" s="68"/>
      <c r="D41" s="68"/>
      <c r="E41" s="68"/>
      <c r="F41" s="68"/>
      <c r="G41" s="68"/>
      <c r="H41" s="68"/>
      <c r="I41" s="68"/>
      <c r="J41" s="69"/>
    </row>
    <row r="42" spans="1:10" x14ac:dyDescent="0.2">
      <c r="F42" s="1"/>
      <c r="G42" s="1"/>
    </row>
    <row r="43" spans="1:10" x14ac:dyDescent="0.2">
      <c r="F43" s="1"/>
      <c r="G43" s="1"/>
    </row>
    <row r="44" spans="1:10" x14ac:dyDescent="0.2">
      <c r="A44" s="1" t="s">
        <v>168</v>
      </c>
      <c r="B44" s="38">
        <f>((B6*$I$6)+(B7*$I$7)+(B9*$I$9)+(B10*$I$10)+(B11*$I$11)+(B12*$I$12))</f>
        <v>0</v>
      </c>
      <c r="C44" s="38">
        <f>((C6*$I$6)+(C7*$I$7)+(C8*$I$8)+(C9*$I$9)+(C10*$I$10)+(C11*$I$11)+(C12*$I$12))*(1+$I$32)</f>
        <v>1433100</v>
      </c>
      <c r="D44" s="38">
        <f>((D6*$I$6)+(D7*$I$7)+(D8*$I$8)+(D9*$I$9)+(D10*$I$10)+(D11*$I$11)+(D12*$I$12))*(1+($I32*2))</f>
        <v>1405560</v>
      </c>
      <c r="E44" s="38">
        <f>((E6*$I$6)+(E7*$I$7)+(E8*$I$8)+(E9*$I$9)+(E10*$I$10)+(E11*$I$11)+(E12*$I$12))*(1+($I32*3))</f>
        <v>1585760</v>
      </c>
      <c r="F44" s="38">
        <f>((F6*$I$6)+(F7*$I$7)+(F8*$I$8)+(F9*$I$9)+(F10*$I$10)+(F11*$I$11)+(F12*$I$12))*(1+($I32*4))</f>
        <v>1892700.0000000002</v>
      </c>
      <c r="G44" s="38">
        <f>((G6*$I$6)+(G7*$I$7)+(G8*$I$8)+(G9*$I$9)+(G10*$I$10)+(G11*$I$11)+(G12*$I$12))*(1+($I32*5))</f>
        <v>1927750.0000000002</v>
      </c>
    </row>
    <row r="45" spans="1:10" x14ac:dyDescent="0.2">
      <c r="A45" s="1" t="s">
        <v>169</v>
      </c>
      <c r="B45" s="38">
        <f>((B18*$I$18)+(B19*$I$19)+(B20*$I$20)+(B21*$I$21)+(B22*$I$22)+(B23*$I$23)+(B24*$I$24))</f>
        <v>68750</v>
      </c>
      <c r="C45" s="38">
        <f>((C18*$I$18)+(C19*$I$19)+(C20*$I$20)+(C21*$I$21)+(C22*$I$22)+(C23*$I$23)+(C24*$I$24))*(1+$I$32)</f>
        <v>725220</v>
      </c>
      <c r="D45" s="38">
        <f>((D18*$I$18)+(D19*$I$19)+(D20*$I$20)+(D21*$I$21)+(D22*$I$22)+(D23*$I$23)+(D24*$I$24))*(1+($I32*2))</f>
        <v>808080</v>
      </c>
      <c r="E45" s="38">
        <f>((E18*$I$18)+(E19*$I$19)+(E20*$I$20)+(E21*$I$21)+(E22*$I$22)+(E23*$I$23)+(E24*$I$24))*(1+($I32*3))</f>
        <v>986860</v>
      </c>
      <c r="F45" s="38">
        <f>((F18*$I$18)+(F19*$I$19)+(F20*$I$20)+(F21*$I$21)+(F22*$I$22)+(F23*$I$23)+(F24*$I$24))*(1+($I32*4))</f>
        <v>1097280</v>
      </c>
      <c r="G45" s="38">
        <f>((G18*$I$18)+(G19*$I$19)+(G20*$I$20)+(G21*$I$21)+(G22*$I$22)+(G23*$I$23)+(G24*$I$24))*(1+($I32*5))</f>
        <v>1117600</v>
      </c>
    </row>
    <row r="46" spans="1:10" x14ac:dyDescent="0.2">
      <c r="F46" s="1"/>
      <c r="G46" s="1"/>
    </row>
    <row r="47" spans="1:10" x14ac:dyDescent="0.2">
      <c r="A47" s="1" t="s">
        <v>213</v>
      </c>
      <c r="B47" s="38">
        <f t="shared" ref="B47:G47" si="13">B32-SUM(B44:B45)</f>
        <v>0</v>
      </c>
      <c r="C47" s="38">
        <f t="shared" si="13"/>
        <v>360060</v>
      </c>
      <c r="D47" s="38">
        <f t="shared" si="13"/>
        <v>188240</v>
      </c>
      <c r="E47" s="38">
        <f t="shared" si="13"/>
        <v>259700</v>
      </c>
      <c r="F47" s="38">
        <f t="shared" si="13"/>
        <v>361800</v>
      </c>
      <c r="G47" s="38">
        <f t="shared" si="13"/>
        <v>408100.00000000047</v>
      </c>
    </row>
    <row r="48" spans="1:10" x14ac:dyDescent="0.2">
      <c r="F48" s="1"/>
      <c r="G48" s="1"/>
    </row>
    <row r="49" spans="6:7" x14ac:dyDescent="0.2">
      <c r="F49" s="1"/>
      <c r="G49" s="1"/>
    </row>
    <row r="50" spans="6:7" x14ac:dyDescent="0.2">
      <c r="F50" s="1"/>
      <c r="G50" s="1"/>
    </row>
    <row r="51" spans="6:7" x14ac:dyDescent="0.2">
      <c r="F51" s="1"/>
      <c r="G51" s="1"/>
    </row>
    <row r="52" spans="6:7" x14ac:dyDescent="0.2">
      <c r="F52" s="1"/>
      <c r="G52" s="1"/>
    </row>
    <row r="53" spans="6:7" x14ac:dyDescent="0.2">
      <c r="F53" s="1"/>
      <c r="G53" s="1"/>
    </row>
    <row r="54" spans="6:7" x14ac:dyDescent="0.2">
      <c r="F54" s="1"/>
      <c r="G54" s="1"/>
    </row>
    <row r="55" spans="6:7" x14ac:dyDescent="0.2">
      <c r="F55" s="1"/>
      <c r="G55" s="1"/>
    </row>
    <row r="56" spans="6:7" x14ac:dyDescent="0.2">
      <c r="F56" s="1"/>
      <c r="G56" s="1"/>
    </row>
    <row r="57" spans="6:7" x14ac:dyDescent="0.2">
      <c r="F57" s="1"/>
      <c r="G57" s="1"/>
    </row>
    <row r="58" spans="6:7" x14ac:dyDescent="0.2">
      <c r="F58" s="1"/>
      <c r="G58" s="1"/>
    </row>
    <row r="59" spans="6:7" x14ac:dyDescent="0.2">
      <c r="F59" s="1"/>
      <c r="G59" s="1"/>
    </row>
    <row r="60" spans="6:7" x14ac:dyDescent="0.2">
      <c r="F60" s="1"/>
      <c r="G60" s="1"/>
    </row>
    <row r="61" spans="6:7" x14ac:dyDescent="0.2">
      <c r="F61" s="1"/>
      <c r="G61" s="1"/>
    </row>
    <row r="62" spans="6:7" x14ac:dyDescent="0.2">
      <c r="F62" s="1"/>
      <c r="G62" s="1"/>
    </row>
    <row r="63" spans="6:7" x14ac:dyDescent="0.2">
      <c r="F63" s="1"/>
      <c r="G63" s="1"/>
    </row>
    <row r="64" spans="6:7" x14ac:dyDescent="0.2">
      <c r="F64" s="1"/>
      <c r="G64" s="1"/>
    </row>
    <row r="65" spans="6:7" x14ac:dyDescent="0.2">
      <c r="F65" s="1"/>
      <c r="G65" s="1"/>
    </row>
    <row r="66" spans="6:7" x14ac:dyDescent="0.2">
      <c r="F66" s="1"/>
      <c r="G66" s="1"/>
    </row>
    <row r="67" spans="6:7" x14ac:dyDescent="0.2">
      <c r="F67" s="1"/>
      <c r="G67" s="1"/>
    </row>
    <row r="68" spans="6:7" x14ac:dyDescent="0.2">
      <c r="F68" s="1"/>
      <c r="G68" s="1"/>
    </row>
    <row r="69" spans="6:7" x14ac:dyDescent="0.2">
      <c r="F69" s="1"/>
      <c r="G69" s="1"/>
    </row>
    <row r="70" spans="6:7" x14ac:dyDescent="0.2">
      <c r="F70" s="1"/>
      <c r="G70" s="1"/>
    </row>
    <row r="71" spans="6:7" x14ac:dyDescent="0.2">
      <c r="F71" s="1"/>
      <c r="G71" s="1"/>
    </row>
    <row r="72" spans="6:7" x14ac:dyDescent="0.2">
      <c r="F72" s="1"/>
      <c r="G72" s="1"/>
    </row>
    <row r="73" spans="6:7" x14ac:dyDescent="0.2">
      <c r="F73" s="1"/>
      <c r="G73" s="1"/>
    </row>
    <row r="74" spans="6:7" x14ac:dyDescent="0.2">
      <c r="F74" s="1"/>
      <c r="G74" s="1"/>
    </row>
    <row r="75" spans="6:7" x14ac:dyDescent="0.2">
      <c r="F75" s="1"/>
      <c r="G75" s="1"/>
    </row>
    <row r="76" spans="6:7" x14ac:dyDescent="0.2">
      <c r="F76" s="1"/>
      <c r="G76" s="1"/>
    </row>
    <row r="77" spans="6:7" x14ac:dyDescent="0.2">
      <c r="F77" s="1"/>
      <c r="G77" s="1"/>
    </row>
    <row r="78" spans="6:7" x14ac:dyDescent="0.2">
      <c r="F78" s="1"/>
      <c r="G78" s="1"/>
    </row>
    <row r="79" spans="6:7" x14ac:dyDescent="0.2">
      <c r="F79" s="1"/>
      <c r="G79" s="1"/>
    </row>
    <row r="80" spans="6:7" x14ac:dyDescent="0.2">
      <c r="F80" s="1"/>
      <c r="G80" s="1"/>
    </row>
    <row r="81" spans="6:7" x14ac:dyDescent="0.2">
      <c r="F81" s="1"/>
      <c r="G81" s="1"/>
    </row>
    <row r="82" spans="6:7" x14ac:dyDescent="0.2">
      <c r="F82" s="1"/>
      <c r="G82" s="1"/>
    </row>
    <row r="83" spans="6:7" x14ac:dyDescent="0.2">
      <c r="F83" s="1"/>
      <c r="G83" s="1"/>
    </row>
    <row r="84" spans="6:7" x14ac:dyDescent="0.2">
      <c r="F84" s="1"/>
      <c r="G84" s="1"/>
    </row>
    <row r="85" spans="6:7" x14ac:dyDescent="0.2">
      <c r="F85" s="1"/>
      <c r="G85" s="1"/>
    </row>
    <row r="86" spans="6:7" x14ac:dyDescent="0.2">
      <c r="F86" s="1"/>
      <c r="G86" s="1"/>
    </row>
    <row r="87" spans="6:7" x14ac:dyDescent="0.2">
      <c r="F87" s="1"/>
      <c r="G87" s="1"/>
    </row>
    <row r="88" spans="6:7" x14ac:dyDescent="0.2">
      <c r="F88" s="1"/>
      <c r="G88" s="1"/>
    </row>
    <row r="89" spans="6:7" x14ac:dyDescent="0.2">
      <c r="F89" s="1"/>
      <c r="G89" s="1"/>
    </row>
    <row r="90" spans="6:7" x14ac:dyDescent="0.2">
      <c r="F90" s="1"/>
      <c r="G90" s="1"/>
    </row>
    <row r="91" spans="6:7" x14ac:dyDescent="0.2">
      <c r="F91" s="1"/>
      <c r="G91" s="1"/>
    </row>
    <row r="92" spans="6:7" x14ac:dyDescent="0.2">
      <c r="F92" s="1"/>
      <c r="G92" s="1"/>
    </row>
    <row r="93" spans="6:7" x14ac:dyDescent="0.2">
      <c r="F93" s="1"/>
      <c r="G93" s="1"/>
    </row>
    <row r="94" spans="6:7" x14ac:dyDescent="0.2">
      <c r="F94" s="1"/>
      <c r="G94" s="1"/>
    </row>
    <row r="95" spans="6:7" x14ac:dyDescent="0.2">
      <c r="F95" s="1"/>
      <c r="G95" s="1"/>
    </row>
    <row r="96" spans="6:7" x14ac:dyDescent="0.2">
      <c r="F96" s="1"/>
      <c r="G96" s="1"/>
    </row>
    <row r="97" spans="6:7" x14ac:dyDescent="0.2">
      <c r="F97" s="1"/>
      <c r="G97" s="1"/>
    </row>
    <row r="98" spans="6:7" x14ac:dyDescent="0.2">
      <c r="F98" s="1"/>
      <c r="G98" s="1"/>
    </row>
    <row r="99" spans="6:7" x14ac:dyDescent="0.2">
      <c r="F99" s="1"/>
      <c r="G99" s="1"/>
    </row>
    <row r="100" spans="6:7" x14ac:dyDescent="0.2">
      <c r="F100" s="1"/>
      <c r="G100" s="1"/>
    </row>
    <row r="101" spans="6:7" x14ac:dyDescent="0.2">
      <c r="F101" s="1"/>
      <c r="G101" s="1"/>
    </row>
    <row r="102" spans="6:7" x14ac:dyDescent="0.2">
      <c r="F102" s="1"/>
      <c r="G102" s="1"/>
    </row>
    <row r="103" spans="6:7" x14ac:dyDescent="0.2">
      <c r="F103" s="1"/>
      <c r="G103" s="1"/>
    </row>
  </sheetData>
  <mergeCells count="1">
    <mergeCell ref="I4:I5"/>
  </mergeCells>
  <phoneticPr fontId="3" type="noConversion"/>
  <pageMargins left="0.7" right="0.7" top="0.75" bottom="0.75" header="0.3" footer="0.3"/>
  <pageSetup scale="8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1"/>
  <sheetViews>
    <sheetView tabSelected="1" view="pageBreakPreview" topLeftCell="B2" zoomScale="120" zoomScaleNormal="120" zoomScaleSheetLayoutView="120" workbookViewId="0">
      <selection activeCell="B36" sqref="B36"/>
    </sheetView>
  </sheetViews>
  <sheetFormatPr defaultColWidth="11.42578125" defaultRowHeight="12.75" x14ac:dyDescent="0.2"/>
  <cols>
    <col min="1" max="1" width="40.140625" style="1" customWidth="1"/>
    <col min="2" max="7" width="14.140625" style="1" customWidth="1"/>
    <col min="8" max="8" width="23.5703125" style="338" customWidth="1"/>
    <col min="9" max="9" width="21.28515625" style="1" customWidth="1"/>
    <col min="10" max="10" width="78.7109375" style="1" bestFit="1" customWidth="1"/>
    <col min="11" max="16384" width="11.42578125" style="1"/>
  </cols>
  <sheetData>
    <row r="1" spans="1:13" ht="21" customHeight="1" x14ac:dyDescent="0.3">
      <c r="A1" s="92" t="str">
        <f>'Cover Page'!A17:H17</f>
        <v>Colorado Military Academy</v>
      </c>
    </row>
    <row r="2" spans="1:13" ht="18.75" x14ac:dyDescent="0.3">
      <c r="A2" s="92" t="s">
        <v>51</v>
      </c>
      <c r="C2" s="229" t="s">
        <v>76</v>
      </c>
      <c r="H2" s="338" t="s">
        <v>280</v>
      </c>
    </row>
    <row r="3" spans="1:13" x14ac:dyDescent="0.2">
      <c r="C3" s="229" t="s">
        <v>76</v>
      </c>
      <c r="H3" s="338" t="s">
        <v>267</v>
      </c>
      <c r="I3" s="7" t="s">
        <v>251</v>
      </c>
      <c r="J3" s="7" t="s">
        <v>253</v>
      </c>
    </row>
    <row r="4" spans="1:13" x14ac:dyDescent="0.2">
      <c r="A4" s="7" t="s">
        <v>37</v>
      </c>
      <c r="B4" s="188" t="str">
        <f>'Page 10-6 yr Budget-detail'!B4</f>
        <v>YEAR 0</v>
      </c>
      <c r="C4" s="188" t="str">
        <f>'Page 10-6 yr Budget-detail'!C4</f>
        <v>YEAR 1</v>
      </c>
      <c r="D4" s="188" t="str">
        <f>'Page 10-6 yr Budget-detail'!D4</f>
        <v>YEAR 2</v>
      </c>
      <c r="E4" s="188" t="str">
        <f>'Page 10-6 yr Budget-detail'!E4</f>
        <v>YEAR 3</v>
      </c>
      <c r="F4" s="188" t="str">
        <f>'Page 10-6 yr Budget-detail'!F4</f>
        <v>YEAR 4</v>
      </c>
      <c r="G4" s="188" t="str">
        <f>'Page 10-6 yr Budget-detail'!G4</f>
        <v>YEAR 5</v>
      </c>
      <c r="H4" s="339"/>
    </row>
    <row r="5" spans="1:13" x14ac:dyDescent="0.2">
      <c r="A5" s="96" t="s">
        <v>131</v>
      </c>
      <c r="B5" s="304"/>
      <c r="C5" s="256">
        <v>7902</v>
      </c>
      <c r="D5" s="256">
        <v>8250</v>
      </c>
      <c r="E5" s="256">
        <f t="shared" ref="E5:G5" si="0">D5*1.02</f>
        <v>8415</v>
      </c>
      <c r="F5" s="256">
        <f t="shared" si="0"/>
        <v>8583.2999999999993</v>
      </c>
      <c r="G5" s="256">
        <f t="shared" si="0"/>
        <v>8754.9659999999985</v>
      </c>
      <c r="H5" s="340" t="s">
        <v>363</v>
      </c>
      <c r="I5" s="1" t="s">
        <v>183</v>
      </c>
      <c r="J5" s="1" t="s">
        <v>252</v>
      </c>
    </row>
    <row r="6" spans="1:13" s="159" customFormat="1" x14ac:dyDescent="0.2">
      <c r="A6" s="253" t="s">
        <v>182</v>
      </c>
      <c r="B6" s="305"/>
      <c r="C6" s="256">
        <v>0</v>
      </c>
      <c r="D6" s="254">
        <v>0</v>
      </c>
      <c r="E6" s="254">
        <v>0</v>
      </c>
      <c r="F6" s="254">
        <v>0</v>
      </c>
      <c r="G6" s="254">
        <v>0</v>
      </c>
      <c r="H6" s="341" t="s">
        <v>360</v>
      </c>
      <c r="I6" s="1" t="s">
        <v>184</v>
      </c>
    </row>
    <row r="7" spans="1:13" x14ac:dyDescent="0.2">
      <c r="A7" s="97" t="s">
        <v>5</v>
      </c>
      <c r="B7" s="303"/>
      <c r="C7" s="256">
        <v>250</v>
      </c>
      <c r="D7" s="255">
        <f>C7</f>
        <v>250</v>
      </c>
      <c r="E7" s="255">
        <f t="shared" ref="E7:G7" si="1">D7</f>
        <v>250</v>
      </c>
      <c r="F7" s="255">
        <f t="shared" si="1"/>
        <v>250</v>
      </c>
      <c r="G7" s="255">
        <f t="shared" si="1"/>
        <v>250</v>
      </c>
      <c r="H7" s="350" t="s">
        <v>361</v>
      </c>
      <c r="I7" s="1" t="s">
        <v>183</v>
      </c>
      <c r="J7" s="307" t="s">
        <v>259</v>
      </c>
    </row>
    <row r="8" spans="1:13" x14ac:dyDescent="0.2">
      <c r="A8" s="97" t="s">
        <v>230</v>
      </c>
      <c r="B8" s="303"/>
      <c r="C8" s="256">
        <f>1100*0.1*'Page 1-Enrollment Plan'!B20</f>
        <v>63140</v>
      </c>
      <c r="D8" s="255">
        <f>1100*0.1*'Page 1-Enrollment Plan'!C20</f>
        <v>57640</v>
      </c>
      <c r="E8" s="255">
        <f>1100*0.1*'Page 1-Enrollment Plan'!D20</f>
        <v>66550</v>
      </c>
      <c r="F8" s="255">
        <f>1100*0.1*'Page 1-Enrollment Plan'!E20</f>
        <v>83710</v>
      </c>
      <c r="G8" s="255">
        <f>1100*0.1*'Page 1-Enrollment Plan'!F20</f>
        <v>85470</v>
      </c>
      <c r="H8" s="342" t="s">
        <v>362</v>
      </c>
      <c r="I8" s="1" t="s">
        <v>184</v>
      </c>
      <c r="J8" s="307" t="s">
        <v>260</v>
      </c>
    </row>
    <row r="9" spans="1:13" x14ac:dyDescent="0.2">
      <c r="A9" s="104" t="s">
        <v>249</v>
      </c>
      <c r="B9" s="303"/>
      <c r="C9" s="303"/>
      <c r="D9" s="255">
        <f>85*D10*'Page 1-Enrollment Plan'!C20</f>
        <v>2227</v>
      </c>
      <c r="E9" s="255">
        <f>85*E10*'Page 1-Enrollment Plan'!D20</f>
        <v>2571.25</v>
      </c>
      <c r="F9" s="255">
        <f>85*F10*'Page 1-Enrollment Plan'!E20</f>
        <v>3234.25</v>
      </c>
      <c r="G9" s="255">
        <f>85*G10*'Page 1-Enrollment Plan'!F20</f>
        <v>3302.25</v>
      </c>
      <c r="H9" s="351" t="s">
        <v>364</v>
      </c>
      <c r="I9" s="1" t="s">
        <v>258</v>
      </c>
      <c r="J9" s="307" t="s">
        <v>261</v>
      </c>
    </row>
    <row r="10" spans="1:13" x14ac:dyDescent="0.2">
      <c r="A10" s="97" t="s">
        <v>160</v>
      </c>
      <c r="B10" s="306"/>
      <c r="C10" s="227">
        <f>SUM(C11:C12)</f>
        <v>0.05</v>
      </c>
      <c r="D10" s="248">
        <f>SUM(D11:D12)</f>
        <v>0.05</v>
      </c>
      <c r="E10" s="248">
        <f t="shared" ref="E10:G10" si="2">SUM(E11:E12)</f>
        <v>0.05</v>
      </c>
      <c r="F10" s="248">
        <f t="shared" si="2"/>
        <v>0.05</v>
      </c>
      <c r="G10" s="248">
        <f t="shared" si="2"/>
        <v>0.05</v>
      </c>
      <c r="H10" s="352"/>
      <c r="K10" s="201"/>
      <c r="L10" s="201"/>
      <c r="M10" s="201"/>
    </row>
    <row r="11" spans="1:13" x14ac:dyDescent="0.2">
      <c r="A11" s="97" t="s">
        <v>214</v>
      </c>
      <c r="B11" s="306"/>
      <c r="C11" s="228">
        <v>0.04</v>
      </c>
      <c r="D11" s="312">
        <v>0.04</v>
      </c>
      <c r="E11" s="312">
        <v>0.04</v>
      </c>
      <c r="F11" s="312">
        <v>0.04</v>
      </c>
      <c r="G11" s="312">
        <v>0.04</v>
      </c>
      <c r="H11" s="353"/>
      <c r="K11" s="201"/>
      <c r="L11" s="201"/>
      <c r="M11" s="201"/>
    </row>
    <row r="12" spans="1:13" x14ac:dyDescent="0.2">
      <c r="A12" s="97" t="s">
        <v>215</v>
      </c>
      <c r="B12" s="306"/>
      <c r="C12" s="228">
        <v>0.01</v>
      </c>
      <c r="D12" s="312">
        <v>0.01</v>
      </c>
      <c r="E12" s="312">
        <v>0.01</v>
      </c>
      <c r="F12" s="312">
        <v>0.01</v>
      </c>
      <c r="G12" s="312">
        <v>0.01</v>
      </c>
      <c r="H12" s="353"/>
      <c r="K12" s="201"/>
      <c r="L12" s="201"/>
      <c r="M12" s="201"/>
    </row>
    <row r="13" spans="1:13" x14ac:dyDescent="0.2">
      <c r="A13" s="97" t="s">
        <v>188</v>
      </c>
      <c r="B13" s="303"/>
      <c r="C13" s="247">
        <v>500</v>
      </c>
      <c r="D13" s="247">
        <f>500+0.01*150*'Page 1-Enrollment Plan'!C20</f>
        <v>1286</v>
      </c>
      <c r="E13" s="247">
        <f>500+0.01*150*'Page 1-Enrollment Plan'!D20</f>
        <v>1407.5</v>
      </c>
      <c r="F13" s="247">
        <f>500+0.01*150*'Page 1-Enrollment Plan'!E20</f>
        <v>1641.5</v>
      </c>
      <c r="G13" s="247">
        <f>500+0.01*150*'Page 1-Enrollment Plan'!F20</f>
        <v>1665.5</v>
      </c>
      <c r="H13" s="351" t="s">
        <v>365</v>
      </c>
      <c r="I13" s="1" t="s">
        <v>279</v>
      </c>
      <c r="J13" s="307" t="s">
        <v>263</v>
      </c>
    </row>
    <row r="14" spans="1:13" x14ac:dyDescent="0.2">
      <c r="A14" s="97" t="s">
        <v>179</v>
      </c>
      <c r="B14" s="306"/>
      <c r="C14" s="247">
        <f>240*C17*'Page 1-Enrollment Plan'!B20</f>
        <v>55104</v>
      </c>
      <c r="D14" s="247">
        <f>240*D17*'Page 1-Enrollment Plan'!C20</f>
        <v>50304</v>
      </c>
      <c r="E14" s="247">
        <f>240*E17*'Page 1-Enrollment Plan'!D20</f>
        <v>58080</v>
      </c>
      <c r="F14" s="247">
        <f>240*F17*'Page 1-Enrollment Plan'!E20</f>
        <v>73056</v>
      </c>
      <c r="G14" s="247">
        <f>240*G17*'Page 1-Enrollment Plan'!F20</f>
        <v>74592</v>
      </c>
      <c r="H14" s="351" t="s">
        <v>268</v>
      </c>
      <c r="I14" s="1" t="s">
        <v>184</v>
      </c>
      <c r="J14" s="307" t="s">
        <v>262</v>
      </c>
    </row>
    <row r="15" spans="1:13" x14ac:dyDescent="0.2">
      <c r="A15" s="97" t="s">
        <v>231</v>
      </c>
      <c r="B15" s="306"/>
      <c r="C15" s="247">
        <f>1500*0.1*'Page 1-Enrollment Plan'!B20</f>
        <v>86100</v>
      </c>
      <c r="D15" s="247">
        <f>1500*0.1*'Page 1-Enrollment Plan'!C20</f>
        <v>78600</v>
      </c>
      <c r="E15" s="247">
        <f>1500*0.1*'Page 1-Enrollment Plan'!D20</f>
        <v>90750</v>
      </c>
      <c r="F15" s="247">
        <f>1500*0.1*'Page 1-Enrollment Plan'!E20</f>
        <v>114150</v>
      </c>
      <c r="G15" s="247">
        <f>1500*0.1*'Page 1-Enrollment Plan'!F20</f>
        <v>116550</v>
      </c>
      <c r="H15" s="351" t="s">
        <v>367</v>
      </c>
      <c r="I15" s="1" t="s">
        <v>184</v>
      </c>
      <c r="J15" s="307" t="s">
        <v>264</v>
      </c>
    </row>
    <row r="16" spans="1:13" x14ac:dyDescent="0.2">
      <c r="A16" s="97" t="s">
        <v>180</v>
      </c>
      <c r="B16" s="306"/>
      <c r="C16" s="247">
        <f>55*C10*'Page 1-Enrollment Plan'!B20</f>
        <v>1578.5</v>
      </c>
      <c r="D16" s="247">
        <f>55*D10*'Page 1-Enrollment Plan'!C20</f>
        <v>1441</v>
      </c>
      <c r="E16" s="247">
        <f>55*E10*'Page 1-Enrollment Plan'!D20</f>
        <v>1663.75</v>
      </c>
      <c r="F16" s="247">
        <f>55*F10*'Page 1-Enrollment Plan'!E20</f>
        <v>2092.75</v>
      </c>
      <c r="G16" s="247">
        <f>55*G10*'Page 1-Enrollment Plan'!F20</f>
        <v>2136.75</v>
      </c>
      <c r="H16" s="351"/>
      <c r="I16" s="1" t="s">
        <v>184</v>
      </c>
      <c r="J16" s="307" t="s">
        <v>265</v>
      </c>
      <c r="K16" s="201"/>
      <c r="L16" s="201"/>
      <c r="M16" s="201"/>
    </row>
    <row r="17" spans="1:13" x14ac:dyDescent="0.2">
      <c r="A17" s="97" t="s">
        <v>102</v>
      </c>
      <c r="B17" s="306"/>
      <c r="C17" s="248">
        <v>0.4</v>
      </c>
      <c r="D17" s="248">
        <f>C17</f>
        <v>0.4</v>
      </c>
      <c r="E17" s="248">
        <f t="shared" ref="E17:G17" si="3">D17</f>
        <v>0.4</v>
      </c>
      <c r="F17" s="248">
        <f t="shared" si="3"/>
        <v>0.4</v>
      </c>
      <c r="G17" s="248">
        <f t="shared" si="3"/>
        <v>0.4</v>
      </c>
      <c r="H17" s="354" t="s">
        <v>366</v>
      </c>
      <c r="K17" s="201"/>
      <c r="L17" s="201"/>
      <c r="M17" s="201"/>
    </row>
    <row r="18" spans="1:13" x14ac:dyDescent="0.2">
      <c r="A18" s="97" t="s">
        <v>170</v>
      </c>
      <c r="B18" s="306"/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350"/>
      <c r="I18" s="1" t="s">
        <v>205</v>
      </c>
    </row>
    <row r="19" spans="1:13" x14ac:dyDescent="0.2">
      <c r="A19" s="97" t="s">
        <v>126</v>
      </c>
      <c r="B19" s="306"/>
      <c r="C19" s="247">
        <f>300*10/2*0.8</f>
        <v>1200</v>
      </c>
      <c r="D19" s="247">
        <f t="shared" ref="D19:G19" si="4">300*10/2*0.8</f>
        <v>1200</v>
      </c>
      <c r="E19" s="247">
        <f t="shared" si="4"/>
        <v>1200</v>
      </c>
      <c r="F19" s="247">
        <f t="shared" si="4"/>
        <v>1200</v>
      </c>
      <c r="G19" s="247">
        <f t="shared" si="4"/>
        <v>1200</v>
      </c>
      <c r="H19" s="350" t="s">
        <v>292</v>
      </c>
      <c r="I19" s="1" t="s">
        <v>205</v>
      </c>
    </row>
    <row r="20" spans="1:13" x14ac:dyDescent="0.2">
      <c r="A20" s="159"/>
      <c r="B20" s="157"/>
      <c r="C20" s="158"/>
      <c r="D20" s="158"/>
      <c r="E20" s="158"/>
      <c r="F20" s="158"/>
      <c r="G20" s="158"/>
      <c r="H20" s="355"/>
      <c r="I20" s="93"/>
    </row>
    <row r="21" spans="1:13" x14ac:dyDescent="0.2">
      <c r="B21" s="93"/>
      <c r="C21" s="93"/>
      <c r="D21" s="93"/>
      <c r="E21" s="93"/>
      <c r="F21" s="93"/>
      <c r="G21" s="93"/>
      <c r="H21" s="356" t="s">
        <v>368</v>
      </c>
      <c r="I21" s="93"/>
    </row>
    <row r="22" spans="1:13" x14ac:dyDescent="0.2">
      <c r="A22" s="7" t="s">
        <v>39</v>
      </c>
      <c r="B22" s="93"/>
      <c r="C22" s="93"/>
      <c r="D22" s="93"/>
      <c r="E22" s="93"/>
      <c r="F22" s="93"/>
      <c r="G22" s="93"/>
      <c r="H22" s="343"/>
      <c r="I22" s="93"/>
    </row>
    <row r="23" spans="1:13" x14ac:dyDescent="0.2">
      <c r="A23" s="96" t="s">
        <v>198</v>
      </c>
      <c r="B23" s="249"/>
      <c r="C23" s="249">
        <v>0.03</v>
      </c>
      <c r="D23" s="249">
        <v>0.03</v>
      </c>
      <c r="E23" s="249">
        <v>0.03</v>
      </c>
      <c r="F23" s="249">
        <v>0.03</v>
      </c>
      <c r="G23" s="249">
        <v>0.03</v>
      </c>
      <c r="H23" s="344"/>
      <c r="I23" s="93"/>
      <c r="L23" s="1" t="s">
        <v>76</v>
      </c>
    </row>
    <row r="24" spans="1:13" x14ac:dyDescent="0.2">
      <c r="A24" s="96" t="s">
        <v>199</v>
      </c>
      <c r="B24" s="249"/>
      <c r="C24" s="249">
        <v>0.01</v>
      </c>
      <c r="D24" s="249">
        <v>0.01</v>
      </c>
      <c r="E24" s="249">
        <v>0.01</v>
      </c>
      <c r="F24" s="249">
        <v>0.01</v>
      </c>
      <c r="G24" s="249">
        <v>0.01</v>
      </c>
      <c r="H24" s="344"/>
      <c r="I24" s="93"/>
    </row>
    <row r="25" spans="1:13" x14ac:dyDescent="0.2">
      <c r="A25" s="97" t="s">
        <v>139</v>
      </c>
      <c r="B25" s="205"/>
      <c r="C25" s="206">
        <v>0.20150000000000001</v>
      </c>
      <c r="D25" s="206">
        <v>0.20399999999999999</v>
      </c>
      <c r="E25" s="206">
        <f t="shared" ref="E25:G25" si="5">D25</f>
        <v>0.20399999999999999</v>
      </c>
      <c r="F25" s="206">
        <f t="shared" si="5"/>
        <v>0.20399999999999999</v>
      </c>
      <c r="G25" s="206">
        <f t="shared" si="5"/>
        <v>0.20399999999999999</v>
      </c>
      <c r="H25" s="345"/>
      <c r="I25" s="93"/>
    </row>
    <row r="26" spans="1:13" x14ac:dyDescent="0.2">
      <c r="A26" s="97" t="s">
        <v>103</v>
      </c>
      <c r="B26" s="207">
        <v>6.2E-2</v>
      </c>
      <c r="C26" s="206" t="s">
        <v>92</v>
      </c>
      <c r="D26" s="206" t="s">
        <v>92</v>
      </c>
      <c r="E26" s="206" t="s">
        <v>92</v>
      </c>
      <c r="F26" s="206" t="s">
        <v>92</v>
      </c>
      <c r="G26" s="206" t="s">
        <v>92</v>
      </c>
      <c r="H26" s="345"/>
      <c r="I26" s="93"/>
    </row>
    <row r="27" spans="1:13" x14ac:dyDescent="0.2">
      <c r="A27" s="97" t="s">
        <v>36</v>
      </c>
      <c r="B27" s="207">
        <v>1.4500000000000001E-2</v>
      </c>
      <c r="C27" s="207">
        <v>1.4500000000000001E-2</v>
      </c>
      <c r="D27" s="207">
        <v>1.4500000000000001E-2</v>
      </c>
      <c r="E27" s="207">
        <v>1.4500000000000001E-2</v>
      </c>
      <c r="F27" s="207">
        <v>1.4500000000000001E-2</v>
      </c>
      <c r="G27" s="207">
        <v>1.4500000000000001E-2</v>
      </c>
      <c r="H27" s="346"/>
      <c r="I27" s="93"/>
    </row>
    <row r="28" spans="1:13" x14ac:dyDescent="0.2">
      <c r="A28" s="97" t="s">
        <v>200</v>
      </c>
      <c r="B28" s="208">
        <v>3.0000000000000001E-3</v>
      </c>
      <c r="C28" s="208">
        <v>3.0000000000000001E-3</v>
      </c>
      <c r="D28" s="208">
        <v>3.0000000000000001E-3</v>
      </c>
      <c r="E28" s="208">
        <v>3.0000000000000001E-3</v>
      </c>
      <c r="F28" s="208">
        <v>3.0000000000000001E-3</v>
      </c>
      <c r="G28" s="208">
        <v>3.0000000000000001E-3</v>
      </c>
      <c r="H28" s="346"/>
      <c r="I28" s="93" t="s">
        <v>201</v>
      </c>
    </row>
    <row r="29" spans="1:13" x14ac:dyDescent="0.2">
      <c r="A29" s="97" t="s">
        <v>254</v>
      </c>
      <c r="B29" s="302">
        <v>0</v>
      </c>
      <c r="C29" s="302">
        <v>22000</v>
      </c>
      <c r="D29" s="302">
        <f>C29*1.1</f>
        <v>24200.000000000004</v>
      </c>
      <c r="E29" s="302">
        <f t="shared" ref="E29:G29" si="6">D29*1.1</f>
        <v>26620.000000000007</v>
      </c>
      <c r="F29" s="302">
        <f t="shared" si="6"/>
        <v>29282.000000000011</v>
      </c>
      <c r="G29" s="302">
        <f t="shared" si="6"/>
        <v>32210.200000000015</v>
      </c>
      <c r="H29" s="347"/>
      <c r="I29" s="93" t="s">
        <v>256</v>
      </c>
    </row>
    <row r="30" spans="1:13" x14ac:dyDescent="0.2">
      <c r="B30" s="93"/>
      <c r="C30" s="93"/>
      <c r="D30" s="93"/>
      <c r="E30" s="93"/>
      <c r="F30" s="93"/>
      <c r="G30" s="93"/>
      <c r="H30" s="343"/>
      <c r="I30" s="93" t="s">
        <v>257</v>
      </c>
    </row>
    <row r="31" spans="1:13" x14ac:dyDescent="0.2">
      <c r="B31" s="93"/>
      <c r="C31" s="93"/>
      <c r="D31" s="93"/>
      <c r="E31" s="93"/>
      <c r="F31" s="93"/>
      <c r="G31" s="93"/>
      <c r="I31" s="93"/>
    </row>
    <row r="32" spans="1:13" x14ac:dyDescent="0.2">
      <c r="A32" s="98" t="s">
        <v>104</v>
      </c>
      <c r="B32" s="129" t="s">
        <v>105</v>
      </c>
      <c r="C32" s="94" t="s">
        <v>117</v>
      </c>
      <c r="D32" s="95"/>
      <c r="E32" s="95"/>
      <c r="F32" s="95"/>
      <c r="G32" s="95"/>
      <c r="H32" s="348"/>
      <c r="I32" s="93"/>
    </row>
    <row r="33" spans="1:9" x14ac:dyDescent="0.2">
      <c r="A33" s="95" t="s">
        <v>108</v>
      </c>
      <c r="B33" s="309">
        <v>80</v>
      </c>
      <c r="C33" s="95" t="s">
        <v>109</v>
      </c>
      <c r="D33" s="95"/>
      <c r="E33" s="95"/>
      <c r="F33" s="95"/>
      <c r="G33" s="95"/>
      <c r="H33" s="348"/>
      <c r="I33" s="93"/>
    </row>
    <row r="34" spans="1:9" x14ac:dyDescent="0.2">
      <c r="A34" s="95" t="s">
        <v>110</v>
      </c>
      <c r="B34" s="246">
        <v>8</v>
      </c>
      <c r="C34" s="95" t="s">
        <v>107</v>
      </c>
      <c r="D34" s="95"/>
      <c r="E34" s="95"/>
      <c r="F34" s="95"/>
      <c r="G34" s="95"/>
      <c r="H34" s="348"/>
      <c r="I34" s="93"/>
    </row>
    <row r="35" spans="1:9" x14ac:dyDescent="0.2">
      <c r="A35" s="95" t="s">
        <v>113</v>
      </c>
      <c r="B35" s="309">
        <f>7200*0.4*0.85</f>
        <v>2448</v>
      </c>
      <c r="C35" s="95" t="s">
        <v>120</v>
      </c>
      <c r="D35" s="95"/>
      <c r="E35" s="95"/>
      <c r="F35" s="95"/>
      <c r="G35" s="95"/>
      <c r="H35" s="348" t="s">
        <v>369</v>
      </c>
      <c r="I35" s="93"/>
    </row>
    <row r="36" spans="1:9" x14ac:dyDescent="0.2">
      <c r="A36" s="95" t="s">
        <v>114</v>
      </c>
      <c r="B36" s="309">
        <f>240*0.56</f>
        <v>134.4</v>
      </c>
      <c r="C36" s="95" t="s">
        <v>120</v>
      </c>
      <c r="D36" s="95"/>
      <c r="E36" s="95"/>
      <c r="F36" s="95"/>
      <c r="G36" s="95"/>
      <c r="H36" s="348" t="s">
        <v>370</v>
      </c>
      <c r="I36" s="93"/>
    </row>
    <row r="37" spans="1:9" x14ac:dyDescent="0.2">
      <c r="A37" s="95" t="s">
        <v>106</v>
      </c>
      <c r="B37" s="309">
        <v>50</v>
      </c>
      <c r="C37" s="95" t="s">
        <v>120</v>
      </c>
      <c r="D37" s="95"/>
      <c r="E37" s="95"/>
      <c r="F37" s="95"/>
      <c r="G37" s="95"/>
      <c r="H37" s="349" t="s">
        <v>371</v>
      </c>
      <c r="I37" s="93"/>
    </row>
    <row r="38" spans="1:9" x14ac:dyDescent="0.2">
      <c r="A38" s="95" t="s">
        <v>140</v>
      </c>
      <c r="B38" s="309">
        <v>50</v>
      </c>
      <c r="C38" s="95" t="s">
        <v>120</v>
      </c>
      <c r="D38" s="95"/>
      <c r="E38" s="95"/>
      <c r="F38" s="95"/>
      <c r="G38" s="95"/>
      <c r="H38" s="348"/>
      <c r="I38" s="93"/>
    </row>
    <row r="39" spans="1:9" x14ac:dyDescent="0.2">
      <c r="A39" s="95" t="s">
        <v>111</v>
      </c>
      <c r="B39" s="309">
        <v>12</v>
      </c>
      <c r="C39" s="95" t="s">
        <v>112</v>
      </c>
      <c r="D39" s="95"/>
      <c r="E39" s="95"/>
      <c r="F39" s="95"/>
      <c r="G39" s="95"/>
      <c r="H39" s="348"/>
      <c r="I39" s="93"/>
    </row>
    <row r="40" spans="1:9" x14ac:dyDescent="0.2">
      <c r="A40" s="93" t="s">
        <v>118</v>
      </c>
      <c r="B40" s="309">
        <v>45</v>
      </c>
      <c r="C40" s="93" t="s">
        <v>116</v>
      </c>
      <c r="D40" s="93"/>
      <c r="E40" s="93"/>
      <c r="F40" s="93"/>
      <c r="G40" s="93"/>
      <c r="H40" s="343"/>
      <c r="I40" s="93"/>
    </row>
    <row r="41" spans="1:9" x14ac:dyDescent="0.2">
      <c r="A41" s="1" t="s">
        <v>125</v>
      </c>
      <c r="B41" s="309">
        <f>870793/'Page 1-Enrollment Plan'!B20</f>
        <v>1517.060975609756</v>
      </c>
      <c r="C41" s="93" t="s">
        <v>116</v>
      </c>
      <c r="D41" s="200"/>
      <c r="E41" s="200"/>
      <c r="F41" s="200"/>
      <c r="G41" s="200"/>
    </row>
    <row r="42" spans="1:9" x14ac:dyDescent="0.2">
      <c r="A42" s="93" t="s">
        <v>203</v>
      </c>
      <c r="B42" s="309"/>
      <c r="C42" s="93" t="s">
        <v>116</v>
      </c>
      <c r="D42" s="93"/>
      <c r="E42" s="93"/>
      <c r="F42" s="93"/>
      <c r="G42" s="93"/>
      <c r="H42" s="343"/>
      <c r="I42" s="93"/>
    </row>
    <row r="43" spans="1:9" x14ac:dyDescent="0.2">
      <c r="A43" s="93" t="s">
        <v>204</v>
      </c>
      <c r="B43" s="309">
        <v>20</v>
      </c>
      <c r="C43" s="93" t="s">
        <v>116</v>
      </c>
      <c r="D43" s="93"/>
      <c r="E43" s="93"/>
      <c r="F43" s="93"/>
      <c r="G43" s="93"/>
      <c r="H43" s="343"/>
      <c r="I43" s="93"/>
    </row>
    <row r="44" spans="1:9" x14ac:dyDescent="0.2">
      <c r="A44" s="93" t="s">
        <v>115</v>
      </c>
      <c r="B44" s="309">
        <v>5</v>
      </c>
      <c r="C44" s="93" t="s">
        <v>116</v>
      </c>
      <c r="D44" s="93"/>
      <c r="E44" s="93"/>
      <c r="F44" s="93"/>
      <c r="G44" s="93"/>
      <c r="I44" s="93"/>
    </row>
    <row r="45" spans="1:9" x14ac:dyDescent="0.2">
      <c r="A45" s="93" t="s">
        <v>124</v>
      </c>
      <c r="B45" s="309">
        <v>12.5</v>
      </c>
      <c r="C45" s="93" t="s">
        <v>116</v>
      </c>
      <c r="D45" s="93"/>
      <c r="E45" s="93"/>
      <c r="F45" s="93"/>
      <c r="G45" s="93"/>
      <c r="H45" s="343"/>
      <c r="I45" s="93"/>
    </row>
    <row r="46" spans="1:9" x14ac:dyDescent="0.2">
      <c r="A46" s="93" t="s">
        <v>123</v>
      </c>
      <c r="B46" s="309">
        <v>60</v>
      </c>
      <c r="C46" s="93" t="s">
        <v>116</v>
      </c>
      <c r="D46" s="93"/>
      <c r="E46" s="93"/>
      <c r="F46" s="93"/>
      <c r="G46" s="93"/>
      <c r="H46" s="343"/>
      <c r="I46" s="93"/>
    </row>
    <row r="47" spans="1:9" x14ac:dyDescent="0.2">
      <c r="A47" s="93" t="s">
        <v>122</v>
      </c>
      <c r="B47" s="309">
        <v>15</v>
      </c>
      <c r="C47" s="93" t="s">
        <v>116</v>
      </c>
      <c r="D47" s="93"/>
      <c r="E47" s="93"/>
      <c r="F47" s="93"/>
      <c r="G47" s="93"/>
      <c r="H47" s="343"/>
      <c r="I47" s="93"/>
    </row>
    <row r="48" spans="1:9" x14ac:dyDescent="0.2">
      <c r="A48" s="93" t="s">
        <v>121</v>
      </c>
      <c r="B48" s="309">
        <v>10</v>
      </c>
      <c r="C48" s="93" t="s">
        <v>116</v>
      </c>
      <c r="D48" s="93"/>
      <c r="E48" s="93"/>
      <c r="F48" s="93"/>
      <c r="G48" s="93"/>
      <c r="H48" s="343"/>
      <c r="I48" s="93"/>
    </row>
    <row r="49" spans="1:8" x14ac:dyDescent="0.2">
      <c r="A49" s="1" t="s">
        <v>127</v>
      </c>
      <c r="B49" s="310">
        <v>20</v>
      </c>
      <c r="C49" s="93" t="s">
        <v>116</v>
      </c>
    </row>
    <row r="50" spans="1:8" x14ac:dyDescent="0.2">
      <c r="A50" s="1" t="s">
        <v>128</v>
      </c>
      <c r="B50" s="310">
        <v>40</v>
      </c>
      <c r="C50" s="1" t="s">
        <v>116</v>
      </c>
    </row>
    <row r="51" spans="1:8" x14ac:dyDescent="0.2">
      <c r="B51" s="245"/>
      <c r="H51" s="343"/>
    </row>
    <row r="52" spans="1:8" x14ac:dyDescent="0.2">
      <c r="B52" s="73"/>
    </row>
    <row r="53" spans="1:8" x14ac:dyDescent="0.2">
      <c r="B53" s="73"/>
    </row>
    <row r="54" spans="1:8" x14ac:dyDescent="0.2">
      <c r="B54" s="73"/>
    </row>
    <row r="55" spans="1:8" x14ac:dyDescent="0.2">
      <c r="A55" s="187" t="s">
        <v>141</v>
      </c>
    </row>
    <row r="56" spans="1:8" x14ac:dyDescent="0.2">
      <c r="A56" s="250" t="s">
        <v>289</v>
      </c>
      <c r="B56" s="250"/>
      <c r="C56" s="245">
        <f>2250*12</f>
        <v>27000</v>
      </c>
      <c r="D56" s="311">
        <f>ROUND(C56/'Page 1-Enrollment Plan'!B$20*'Page 1-Enrollment Plan'!C$20,0)</f>
        <v>24648</v>
      </c>
      <c r="E56" s="311">
        <f>ROUND(D56/'Page 1-Enrollment Plan'!C$20*'Page 1-Enrollment Plan'!D$20,0)</f>
        <v>28458</v>
      </c>
      <c r="F56" s="311">
        <f>ROUND(E56/'Page 1-Enrollment Plan'!D$20*'Page 1-Enrollment Plan'!E$20,0)</f>
        <v>35796</v>
      </c>
      <c r="G56" s="311">
        <f>ROUND(F56/'Page 1-Enrollment Plan'!E$20*'Page 1-Enrollment Plan'!F$20,0)</f>
        <v>36549</v>
      </c>
      <c r="H56" s="338" t="s">
        <v>294</v>
      </c>
    </row>
    <row r="57" spans="1:8" x14ac:dyDescent="0.2">
      <c r="A57" s="250" t="s">
        <v>290</v>
      </c>
      <c r="B57" s="250"/>
      <c r="C57" s="245">
        <v>7500</v>
      </c>
      <c r="D57" s="245">
        <f>C57</f>
        <v>7500</v>
      </c>
      <c r="E57" s="245">
        <f t="shared" ref="E57:G57" si="7">D57</f>
        <v>7500</v>
      </c>
      <c r="F57" s="245">
        <f t="shared" si="7"/>
        <v>7500</v>
      </c>
      <c r="G57" s="245">
        <f t="shared" si="7"/>
        <v>7500</v>
      </c>
    </row>
    <row r="58" spans="1:8" x14ac:dyDescent="0.2">
      <c r="A58" s="250" t="s">
        <v>291</v>
      </c>
      <c r="B58" s="250"/>
      <c r="C58" s="245">
        <v>2000</v>
      </c>
      <c r="D58" s="245">
        <f>C58</f>
        <v>2000</v>
      </c>
      <c r="E58" s="245">
        <f t="shared" ref="E58:G58" si="8">D58</f>
        <v>2000</v>
      </c>
      <c r="F58" s="245">
        <f t="shared" si="8"/>
        <v>2000</v>
      </c>
      <c r="G58" s="245">
        <f t="shared" si="8"/>
        <v>2000</v>
      </c>
    </row>
    <row r="59" spans="1:8" x14ac:dyDescent="0.2">
      <c r="A59" s="250"/>
      <c r="B59" s="250"/>
      <c r="C59" s="245"/>
      <c r="D59" s="245"/>
      <c r="E59" s="245"/>
      <c r="F59" s="245"/>
      <c r="G59" s="245"/>
    </row>
    <row r="60" spans="1:8" x14ac:dyDescent="0.2">
      <c r="A60" s="250"/>
      <c r="B60" s="245"/>
      <c r="C60" s="251"/>
      <c r="D60" s="251"/>
      <c r="E60" s="251"/>
      <c r="F60" s="251"/>
      <c r="G60" s="251"/>
      <c r="H60" s="356"/>
    </row>
    <row r="61" spans="1:8" x14ac:dyDescent="0.2">
      <c r="A61" s="1" t="s">
        <v>35</v>
      </c>
      <c r="B61" s="73">
        <f t="shared" ref="B61:G61" si="9">SUM(B56:B60)</f>
        <v>0</v>
      </c>
      <c r="C61" s="73">
        <f>SUM(C56:C60)</f>
        <v>36500</v>
      </c>
      <c r="D61" s="73">
        <f>SUM(D56:D60)</f>
        <v>34148</v>
      </c>
      <c r="E61" s="73">
        <f t="shared" si="9"/>
        <v>37958</v>
      </c>
      <c r="F61" s="73">
        <f t="shared" si="9"/>
        <v>45296</v>
      </c>
      <c r="G61" s="73">
        <f t="shared" si="9"/>
        <v>46049</v>
      </c>
    </row>
  </sheetData>
  <phoneticPr fontId="2" type="noConversion"/>
  <pageMargins left="0.7" right="0.7" top="0.75" bottom="0.75" header="0.3" footer="0.3"/>
  <pageSetup scale="99" orientation="landscape" horizontalDpi="1200" verticalDpi="1200" r:id="rId1"/>
  <rowBreaks count="1" manualBreakCount="1">
    <brk id="3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88"/>
  <sheetViews>
    <sheetView view="pageBreakPreview" topLeftCell="A55" zoomScale="90" zoomScaleNormal="80" zoomScaleSheetLayoutView="90" workbookViewId="0">
      <selection activeCell="F85" sqref="F85"/>
    </sheetView>
  </sheetViews>
  <sheetFormatPr defaultColWidth="11.42578125" defaultRowHeight="15" customHeight="1" x14ac:dyDescent="0.2"/>
  <cols>
    <col min="1" max="1" width="38.42578125" style="1" customWidth="1"/>
    <col min="2" max="5" width="12.7109375" style="1" customWidth="1"/>
    <col min="6" max="6" width="45.7109375" style="48" customWidth="1"/>
    <col min="7" max="16384" width="11.42578125" style="1"/>
  </cols>
  <sheetData>
    <row r="1" spans="1:6" ht="15" customHeight="1" x14ac:dyDescent="0.3">
      <c r="A1" s="99" t="str">
        <f>'Page 3-Assumptions'!A1</f>
        <v>Colorado Military Academy</v>
      </c>
      <c r="B1" s="100"/>
      <c r="C1" s="100"/>
      <c r="D1" s="100"/>
      <c r="E1" s="64"/>
      <c r="F1" s="136" t="s">
        <v>186</v>
      </c>
    </row>
    <row r="2" spans="1:6" ht="15" customHeight="1" x14ac:dyDescent="0.3">
      <c r="A2" s="101" t="str">
        <f>B3</f>
        <v>YEAR 0</v>
      </c>
      <c r="B2" s="14"/>
      <c r="C2" s="14"/>
      <c r="D2" s="14"/>
      <c r="E2" s="66"/>
      <c r="F2" s="114"/>
    </row>
    <row r="3" spans="1:6" s="2" customFormat="1" ht="15" customHeight="1" x14ac:dyDescent="0.2">
      <c r="A3" s="102"/>
      <c r="B3" s="391" t="str">
        <f>'Page 10-6 yr Budget-detail'!B4</f>
        <v>YEAR 0</v>
      </c>
      <c r="C3" s="392"/>
      <c r="D3" s="392"/>
      <c r="E3" s="393"/>
      <c r="F3" s="115" t="s">
        <v>77</v>
      </c>
    </row>
    <row r="4" spans="1:6" s="2" customFormat="1" ht="25.5" x14ac:dyDescent="0.2">
      <c r="A4" s="67"/>
      <c r="B4" s="3" t="s">
        <v>44</v>
      </c>
      <c r="C4" s="3" t="s">
        <v>133</v>
      </c>
      <c r="D4" s="3" t="s">
        <v>243</v>
      </c>
      <c r="E4" s="3" t="s">
        <v>35</v>
      </c>
      <c r="F4" s="127"/>
    </row>
    <row r="5" spans="1:6" s="2" customFormat="1" ht="12.75" x14ac:dyDescent="0.2">
      <c r="A5" s="103" t="s">
        <v>89</v>
      </c>
      <c r="B5" s="19"/>
      <c r="C5" s="19"/>
      <c r="D5" s="19"/>
      <c r="E5" s="62" t="s">
        <v>92</v>
      </c>
      <c r="F5" s="127"/>
    </row>
    <row r="6" spans="1:6" s="2" customFormat="1" ht="12.75" x14ac:dyDescent="0.2">
      <c r="A6" s="103" t="s">
        <v>59</v>
      </c>
      <c r="B6" s="19"/>
      <c r="C6" s="19"/>
      <c r="D6" s="19"/>
      <c r="E6" s="10" t="s">
        <v>92</v>
      </c>
      <c r="F6" s="127"/>
    </row>
    <row r="7" spans="1:6" s="2" customFormat="1" ht="12.75" x14ac:dyDescent="0.2">
      <c r="A7" s="67" t="s">
        <v>37</v>
      </c>
      <c r="B7" s="19"/>
      <c r="C7" s="19"/>
      <c r="D7" s="19"/>
      <c r="E7" s="5"/>
      <c r="F7" s="127"/>
    </row>
    <row r="8" spans="1:6" ht="14.25" customHeight="1" x14ac:dyDescent="0.2">
      <c r="A8" s="104" t="s">
        <v>0</v>
      </c>
      <c r="B8" s="173"/>
      <c r="C8" s="258"/>
      <c r="D8" s="173"/>
      <c r="E8" s="72">
        <f>SUM(B8:D8)</f>
        <v>0</v>
      </c>
      <c r="F8" s="226" t="s">
        <v>76</v>
      </c>
    </row>
    <row r="9" spans="1:6" ht="12.75" x14ac:dyDescent="0.2">
      <c r="A9" s="104" t="s">
        <v>210</v>
      </c>
      <c r="B9" s="173"/>
      <c r="C9" s="173"/>
      <c r="D9" s="173"/>
      <c r="E9" s="72">
        <f t="shared" ref="E9:E27" si="0">SUM(B9:D9)</f>
        <v>0</v>
      </c>
      <c r="F9" s="128"/>
    </row>
    <row r="10" spans="1:6" ht="12.75" x14ac:dyDescent="0.2">
      <c r="A10" s="104" t="s">
        <v>209</v>
      </c>
      <c r="B10" s="173"/>
      <c r="C10" s="173"/>
      <c r="D10" s="173"/>
      <c r="E10" s="72">
        <f>SUM(B10:D10)</f>
        <v>0</v>
      </c>
      <c r="F10" s="128"/>
    </row>
    <row r="11" spans="1:6" ht="12.75" x14ac:dyDescent="0.2">
      <c r="A11" s="104" t="s">
        <v>1</v>
      </c>
      <c r="B11" s="173"/>
      <c r="C11" s="173"/>
      <c r="D11" s="173"/>
      <c r="E11" s="72">
        <f t="shared" si="0"/>
        <v>0</v>
      </c>
      <c r="F11" s="128"/>
    </row>
    <row r="12" spans="1:6" ht="12.75" x14ac:dyDescent="0.2">
      <c r="A12" s="104" t="s">
        <v>195</v>
      </c>
      <c r="B12" s="173"/>
      <c r="C12" s="173"/>
      <c r="D12" s="173"/>
      <c r="E12" s="72">
        <f t="shared" si="0"/>
        <v>0</v>
      </c>
      <c r="F12" s="128"/>
    </row>
    <row r="13" spans="1:6" ht="12.75" x14ac:dyDescent="0.2">
      <c r="A13" s="104" t="s">
        <v>2</v>
      </c>
      <c r="B13" s="173"/>
      <c r="C13" s="173"/>
      <c r="D13" s="173"/>
      <c r="E13" s="72">
        <f t="shared" si="0"/>
        <v>0</v>
      </c>
      <c r="F13" s="128"/>
    </row>
    <row r="14" spans="1:6" ht="12.75" x14ac:dyDescent="0.2">
      <c r="A14" s="104" t="s">
        <v>3</v>
      </c>
      <c r="B14" s="173"/>
      <c r="C14" s="173"/>
      <c r="D14" s="173"/>
      <c r="E14" s="72">
        <f t="shared" si="0"/>
        <v>0</v>
      </c>
      <c r="F14" s="128"/>
    </row>
    <row r="15" spans="1:6" ht="12.75" x14ac:dyDescent="0.2">
      <c r="A15" s="105" t="s">
        <v>4</v>
      </c>
      <c r="B15" s="173">
        <f>200000+100000+300000</f>
        <v>600000</v>
      </c>
      <c r="C15" s="173"/>
      <c r="D15" s="173"/>
      <c r="E15" s="72">
        <f t="shared" si="0"/>
        <v>600000</v>
      </c>
      <c r="F15" s="128" t="s">
        <v>438</v>
      </c>
    </row>
    <row r="16" spans="1:6" ht="12.75" x14ac:dyDescent="0.2">
      <c r="A16" s="105" t="s">
        <v>5</v>
      </c>
      <c r="B16" s="173"/>
      <c r="C16" s="173"/>
      <c r="D16" s="173"/>
      <c r="E16" s="72">
        <f t="shared" si="0"/>
        <v>0</v>
      </c>
      <c r="F16" s="128"/>
    </row>
    <row r="17" spans="1:6" ht="12.75" x14ac:dyDescent="0.2">
      <c r="A17" s="105" t="s">
        <v>232</v>
      </c>
      <c r="B17" s="173"/>
      <c r="C17" s="173"/>
      <c r="D17" s="173"/>
      <c r="E17" s="72">
        <f t="shared" si="0"/>
        <v>0</v>
      </c>
      <c r="F17" s="128"/>
    </row>
    <row r="18" spans="1:6" ht="12.75" customHeight="1" x14ac:dyDescent="0.2">
      <c r="A18" s="104" t="s">
        <v>234</v>
      </c>
      <c r="B18" s="173"/>
      <c r="C18" s="173"/>
      <c r="D18" s="173"/>
      <c r="E18" s="72">
        <f t="shared" si="0"/>
        <v>0</v>
      </c>
      <c r="F18" s="128"/>
    </row>
    <row r="19" spans="1:6" ht="12.75" x14ac:dyDescent="0.2">
      <c r="A19" s="104" t="s">
        <v>188</v>
      </c>
      <c r="B19" s="173"/>
      <c r="C19" s="173"/>
      <c r="D19" s="173"/>
      <c r="E19" s="72">
        <f t="shared" si="0"/>
        <v>0</v>
      </c>
      <c r="F19" s="128"/>
    </row>
    <row r="20" spans="1:6" ht="12.75" x14ac:dyDescent="0.2">
      <c r="A20" s="104" t="s">
        <v>196</v>
      </c>
      <c r="B20" s="258"/>
      <c r="C20" s="173"/>
      <c r="D20" s="173"/>
      <c r="E20" s="72">
        <f t="shared" si="0"/>
        <v>0</v>
      </c>
      <c r="F20" s="128"/>
    </row>
    <row r="21" spans="1:6" ht="12.75" x14ac:dyDescent="0.2">
      <c r="A21" s="104" t="s">
        <v>179</v>
      </c>
      <c r="B21" s="173"/>
      <c r="C21" s="173"/>
      <c r="D21" s="173"/>
      <c r="E21" s="72">
        <f t="shared" si="0"/>
        <v>0</v>
      </c>
      <c r="F21" s="128"/>
    </row>
    <row r="22" spans="1:6" ht="12.75" x14ac:dyDescent="0.2">
      <c r="A22" s="104" t="s">
        <v>233</v>
      </c>
      <c r="B22" s="173"/>
      <c r="C22" s="173"/>
      <c r="D22" s="173"/>
      <c r="E22" s="72">
        <f t="shared" si="0"/>
        <v>0</v>
      </c>
      <c r="F22" s="128"/>
    </row>
    <row r="23" spans="1:6" ht="12.75" x14ac:dyDescent="0.2">
      <c r="A23" s="104" t="s">
        <v>180</v>
      </c>
      <c r="B23" s="173"/>
      <c r="C23" s="173"/>
      <c r="D23" s="173"/>
      <c r="E23" s="72">
        <f t="shared" si="0"/>
        <v>0</v>
      </c>
      <c r="F23" s="128"/>
    </row>
    <row r="24" spans="1:6" ht="12.75" x14ac:dyDescent="0.2">
      <c r="A24" s="104" t="s">
        <v>197</v>
      </c>
      <c r="B24" s="173"/>
      <c r="C24" s="173"/>
      <c r="D24" s="173"/>
      <c r="E24" s="72">
        <f t="shared" si="0"/>
        <v>0</v>
      </c>
      <c r="F24" s="128"/>
    </row>
    <row r="25" spans="1:6" ht="12.75" x14ac:dyDescent="0.2">
      <c r="A25" s="104" t="s">
        <v>181</v>
      </c>
      <c r="B25" s="173"/>
      <c r="C25" s="173"/>
      <c r="D25" s="173"/>
      <c r="E25" s="72">
        <f t="shared" si="0"/>
        <v>0</v>
      </c>
      <c r="F25" s="128"/>
    </row>
    <row r="26" spans="1:6" ht="12.75" x14ac:dyDescent="0.2">
      <c r="A26" s="104" t="s">
        <v>131</v>
      </c>
      <c r="B26" s="173"/>
      <c r="C26" s="173"/>
      <c r="D26" s="173">
        <f>'Support-CDE start-up grant'!B4</f>
        <v>0</v>
      </c>
      <c r="E26" s="72">
        <f t="shared" si="0"/>
        <v>0</v>
      </c>
      <c r="F26" s="128"/>
    </row>
    <row r="27" spans="1:6" ht="12.75" x14ac:dyDescent="0.2">
      <c r="A27" s="104" t="s">
        <v>182</v>
      </c>
      <c r="B27" s="216"/>
      <c r="C27" s="216"/>
      <c r="D27" s="216"/>
      <c r="E27" s="72">
        <f t="shared" si="0"/>
        <v>0</v>
      </c>
      <c r="F27" s="128"/>
    </row>
    <row r="28" spans="1:6" ht="12.75" x14ac:dyDescent="0.2">
      <c r="A28" s="217" t="s">
        <v>38</v>
      </c>
      <c r="B28" s="213">
        <f>SUM(B8:B27)</f>
        <v>600000</v>
      </c>
      <c r="C28" s="213">
        <f>SUM(C8:C27)</f>
        <v>0</v>
      </c>
      <c r="D28" s="213">
        <f>SUM(D8:D27)</f>
        <v>0</v>
      </c>
      <c r="E28" s="213">
        <f>SUM(E8:E27)</f>
        <v>600000</v>
      </c>
      <c r="F28" s="128"/>
    </row>
    <row r="29" spans="1:6" ht="12.75" x14ac:dyDescent="0.2">
      <c r="A29" s="106"/>
      <c r="B29" s="89"/>
      <c r="C29" s="89"/>
      <c r="D29" s="89"/>
      <c r="E29" s="4"/>
      <c r="F29" s="128"/>
    </row>
    <row r="30" spans="1:6" ht="12.75" x14ac:dyDescent="0.2">
      <c r="A30" s="107" t="s">
        <v>39</v>
      </c>
      <c r="B30" s="89"/>
      <c r="C30" s="89"/>
      <c r="D30" s="89"/>
      <c r="E30" s="4"/>
      <c r="F30" s="128"/>
    </row>
    <row r="31" spans="1:6" ht="12.75" x14ac:dyDescent="0.2">
      <c r="A31" s="104" t="s">
        <v>93</v>
      </c>
      <c r="B31" s="140">
        <f>'Page 2-Staffing Plan'!B32-(C31+D31)</f>
        <v>68750</v>
      </c>
      <c r="C31" s="258"/>
      <c r="D31" s="173">
        <f>'Support-CDE start-up grant'!B6+'Support-CDE start-up grant'!B8</f>
        <v>0</v>
      </c>
      <c r="E31" s="72">
        <f>SUM(B31:D31)</f>
        <v>68750</v>
      </c>
      <c r="F31" s="128" t="s">
        <v>295</v>
      </c>
    </row>
    <row r="32" spans="1:6" ht="12.75" x14ac:dyDescent="0.2">
      <c r="A32" s="104" t="s">
        <v>6</v>
      </c>
      <c r="B32" s="173">
        <v>0</v>
      </c>
      <c r="C32" s="258"/>
      <c r="D32" s="173"/>
      <c r="E32" s="72">
        <f t="shared" ref="E32:E72" si="1">SUM(B32:D32)</f>
        <v>0</v>
      </c>
      <c r="F32" s="128"/>
    </row>
    <row r="33" spans="1:6" ht="12.75" x14ac:dyDescent="0.2">
      <c r="A33" s="104" t="s">
        <v>7</v>
      </c>
      <c r="B33" s="90">
        <f>(B31+B32)*1.45%</f>
        <v>996.87499999999989</v>
      </c>
      <c r="C33" s="258"/>
      <c r="D33" s="173">
        <f>ROUND((D31+D32)*1.45%,0)</f>
        <v>0</v>
      </c>
      <c r="E33" s="72">
        <f t="shared" si="1"/>
        <v>996.87499999999989</v>
      </c>
      <c r="F33" s="128"/>
    </row>
    <row r="34" spans="1:6" ht="12.75" x14ac:dyDescent="0.2">
      <c r="A34" s="104" t="s">
        <v>8</v>
      </c>
      <c r="B34" s="90">
        <f>(B31+B32)*6.2%</f>
        <v>4262.5</v>
      </c>
      <c r="C34" s="258"/>
      <c r="D34" s="173">
        <f>ROUND((D31+D32)*6.2%,0)</f>
        <v>0</v>
      </c>
      <c r="E34" s="72">
        <f t="shared" si="1"/>
        <v>4262.5</v>
      </c>
      <c r="F34" s="128"/>
    </row>
    <row r="35" spans="1:6" ht="12.75" x14ac:dyDescent="0.2">
      <c r="A35" s="104" t="s">
        <v>189</v>
      </c>
      <c r="B35" s="135"/>
      <c r="C35" s="258"/>
      <c r="D35" s="173"/>
      <c r="E35" s="72">
        <f t="shared" si="1"/>
        <v>0</v>
      </c>
      <c r="F35" s="128"/>
    </row>
    <row r="36" spans="1:6" ht="12.75" x14ac:dyDescent="0.2">
      <c r="A36" s="104" t="s">
        <v>9</v>
      </c>
      <c r="B36" s="90">
        <f>'Page 3-Assumptions'!B35*'Page 2-Staffing Plan'!C38</f>
        <v>0</v>
      </c>
      <c r="C36" s="258"/>
      <c r="D36" s="173"/>
      <c r="E36" s="72">
        <f t="shared" si="1"/>
        <v>0</v>
      </c>
      <c r="F36" s="128" t="s">
        <v>76</v>
      </c>
    </row>
    <row r="37" spans="1:6" ht="12.75" x14ac:dyDescent="0.2">
      <c r="A37" s="104" t="s">
        <v>10</v>
      </c>
      <c r="B37" s="90">
        <f>'Page 3-Assumptions'!B36*'Page 2-Staffing Plan'!C38</f>
        <v>0</v>
      </c>
      <c r="C37" s="258"/>
      <c r="D37" s="173"/>
      <c r="E37" s="72">
        <f t="shared" si="1"/>
        <v>0</v>
      </c>
      <c r="F37" s="128" t="s">
        <v>76</v>
      </c>
    </row>
    <row r="38" spans="1:6" ht="12.75" x14ac:dyDescent="0.2">
      <c r="A38" s="104" t="s">
        <v>11</v>
      </c>
      <c r="B38" s="90">
        <f>'Page 3-Assumptions'!B37*('Page 2-Staffing Plan'!D38-'Page 2-Staffing Plan'!C38)</f>
        <v>0</v>
      </c>
      <c r="C38" s="258"/>
      <c r="D38" s="173"/>
      <c r="E38" s="72">
        <f t="shared" si="1"/>
        <v>0</v>
      </c>
      <c r="F38" s="128"/>
    </row>
    <row r="39" spans="1:6" ht="12.75" x14ac:dyDescent="0.2">
      <c r="A39" s="104" t="s">
        <v>194</v>
      </c>
      <c r="B39" s="90"/>
      <c r="C39" s="258"/>
      <c r="D39" s="173"/>
      <c r="E39" s="72">
        <f t="shared" si="1"/>
        <v>0</v>
      </c>
      <c r="F39" s="128"/>
    </row>
    <row r="40" spans="1:6" ht="12.75" x14ac:dyDescent="0.2">
      <c r="A40" s="104" t="s">
        <v>119</v>
      </c>
      <c r="B40" s="173"/>
      <c r="C40" s="259"/>
      <c r="D40" s="173"/>
      <c r="E40" s="72">
        <f t="shared" si="1"/>
        <v>0</v>
      </c>
      <c r="F40" s="128"/>
    </row>
    <row r="41" spans="1:6" ht="12.75" x14ac:dyDescent="0.2">
      <c r="A41" s="104" t="s">
        <v>12</v>
      </c>
      <c r="B41" s="90">
        <f>'Page 3-Assumptions'!B61</f>
        <v>0</v>
      </c>
      <c r="C41" s="258"/>
      <c r="D41" s="173"/>
      <c r="E41" s="72">
        <f t="shared" si="1"/>
        <v>0</v>
      </c>
      <c r="F41" s="128"/>
    </row>
    <row r="42" spans="1:6" ht="12.75" x14ac:dyDescent="0.2">
      <c r="A42" s="104" t="s">
        <v>190</v>
      </c>
      <c r="B42" s="173"/>
      <c r="C42" s="258"/>
      <c r="D42" s="173" t="s">
        <v>76</v>
      </c>
      <c r="E42" s="72">
        <f t="shared" si="1"/>
        <v>0</v>
      </c>
      <c r="F42" s="128"/>
    </row>
    <row r="43" spans="1:6" ht="12.75" x14ac:dyDescent="0.2">
      <c r="A43" s="104" t="s">
        <v>13</v>
      </c>
      <c r="B43" s="173">
        <v>7500</v>
      </c>
      <c r="C43" s="258"/>
      <c r="D43" s="173">
        <f>'Support-CDE start-up grant'!B11</f>
        <v>0</v>
      </c>
      <c r="E43" s="72">
        <f t="shared" si="1"/>
        <v>7500</v>
      </c>
      <c r="F43" s="128"/>
    </row>
    <row r="44" spans="1:6" ht="12.75" x14ac:dyDescent="0.2">
      <c r="A44" s="104" t="s">
        <v>14</v>
      </c>
      <c r="B44" s="173"/>
      <c r="C44" s="258"/>
      <c r="D44" s="173">
        <f>'Support-CDE start-up grant'!B10</f>
        <v>0</v>
      </c>
      <c r="E44" s="72">
        <f t="shared" si="1"/>
        <v>0</v>
      </c>
      <c r="F44" s="128"/>
    </row>
    <row r="45" spans="1:6" ht="12.75" x14ac:dyDescent="0.2">
      <c r="A45" s="104" t="s">
        <v>15</v>
      </c>
      <c r="B45" s="173">
        <v>11720</v>
      </c>
      <c r="C45" s="258"/>
      <c r="D45" s="173"/>
      <c r="E45" s="72">
        <f t="shared" si="1"/>
        <v>11720</v>
      </c>
      <c r="F45" s="128" t="s">
        <v>439</v>
      </c>
    </row>
    <row r="46" spans="1:6" ht="12.75" x14ac:dyDescent="0.2">
      <c r="A46" s="104" t="s">
        <v>16</v>
      </c>
      <c r="B46" s="173"/>
      <c r="C46" s="258"/>
      <c r="D46" s="173">
        <f>'Support-CDE start-up grant'!B12</f>
        <v>0</v>
      </c>
      <c r="E46" s="72">
        <f t="shared" si="1"/>
        <v>0</v>
      </c>
      <c r="F46" s="128"/>
    </row>
    <row r="47" spans="1:6" ht="12.75" x14ac:dyDescent="0.2">
      <c r="A47" s="104" t="s">
        <v>211</v>
      </c>
      <c r="B47" s="258"/>
      <c r="C47" s="258"/>
      <c r="D47" s="173"/>
      <c r="E47" s="72">
        <f t="shared" si="1"/>
        <v>0</v>
      </c>
      <c r="F47" s="128" t="s">
        <v>296</v>
      </c>
    </row>
    <row r="48" spans="1:6" ht="12.75" x14ac:dyDescent="0.2">
      <c r="A48" s="104" t="s">
        <v>17</v>
      </c>
      <c r="B48" s="173"/>
      <c r="C48" s="258"/>
      <c r="D48" s="173"/>
      <c r="E48" s="72">
        <f t="shared" si="1"/>
        <v>0</v>
      </c>
      <c r="F48" s="128"/>
    </row>
    <row r="49" spans="1:6" ht="12.75" x14ac:dyDescent="0.2">
      <c r="A49" s="104" t="s">
        <v>18</v>
      </c>
      <c r="B49" s="173"/>
      <c r="C49" s="258"/>
      <c r="D49" s="173"/>
      <c r="E49" s="72">
        <f t="shared" si="1"/>
        <v>0</v>
      </c>
      <c r="F49" s="128"/>
    </row>
    <row r="50" spans="1:6" ht="12.75" x14ac:dyDescent="0.2">
      <c r="A50" s="104" t="s">
        <v>19</v>
      </c>
      <c r="B50" s="173">
        <v>37478</v>
      </c>
      <c r="C50" s="258"/>
      <c r="D50" s="173"/>
      <c r="E50" s="72">
        <f t="shared" si="1"/>
        <v>37478</v>
      </c>
      <c r="F50" s="128" t="s">
        <v>297</v>
      </c>
    </row>
    <row r="51" spans="1:6" ht="12.75" x14ac:dyDescent="0.2">
      <c r="A51" s="104" t="s">
        <v>20</v>
      </c>
      <c r="B51" s="173"/>
      <c r="C51" s="258"/>
      <c r="D51" s="173"/>
      <c r="E51" s="72">
        <f t="shared" si="1"/>
        <v>0</v>
      </c>
      <c r="F51" s="128"/>
    </row>
    <row r="52" spans="1:6" ht="12.75" x14ac:dyDescent="0.2">
      <c r="A52" s="104" t="s">
        <v>255</v>
      </c>
      <c r="B52" s="90">
        <f>'Page 3-Assumptions'!B29</f>
        <v>0</v>
      </c>
      <c r="C52" s="258"/>
      <c r="D52" s="173"/>
      <c r="E52" s="72">
        <f t="shared" si="1"/>
        <v>0</v>
      </c>
      <c r="F52" s="128"/>
    </row>
    <row r="53" spans="1:6" ht="12.75" x14ac:dyDescent="0.2">
      <c r="A53" s="104" t="s">
        <v>21</v>
      </c>
      <c r="B53" s="90">
        <f>'Page 3-Assumptions'!$B$28*(B31+B32)</f>
        <v>206.25</v>
      </c>
      <c r="C53" s="258"/>
      <c r="D53" s="173">
        <f>'Page 3-Assumptions'!$B$28*(D31+D32)</f>
        <v>0</v>
      </c>
      <c r="E53" s="72">
        <f t="shared" si="1"/>
        <v>206.25</v>
      </c>
      <c r="F53" s="128"/>
    </row>
    <row r="54" spans="1:6" ht="12.75" x14ac:dyDescent="0.2">
      <c r="A54" s="104" t="s">
        <v>22</v>
      </c>
      <c r="B54" s="90"/>
      <c r="C54" s="258"/>
      <c r="D54" s="173"/>
      <c r="E54" s="72">
        <f t="shared" si="1"/>
        <v>0</v>
      </c>
      <c r="F54" s="128"/>
    </row>
    <row r="55" spans="1:6" ht="12.75" x14ac:dyDescent="0.2">
      <c r="A55" s="104" t="s">
        <v>23</v>
      </c>
      <c r="B55" s="173">
        <v>2050</v>
      </c>
      <c r="C55" s="258"/>
      <c r="D55" s="173"/>
      <c r="E55" s="72">
        <f t="shared" si="1"/>
        <v>2050</v>
      </c>
      <c r="F55" s="128" t="s">
        <v>440</v>
      </c>
    </row>
    <row r="56" spans="1:6" ht="12.75" x14ac:dyDescent="0.2">
      <c r="A56" s="104" t="s">
        <v>24</v>
      </c>
      <c r="B56" s="173"/>
      <c r="C56" s="258"/>
      <c r="D56" s="173"/>
      <c r="E56" s="72">
        <f t="shared" si="1"/>
        <v>0</v>
      </c>
      <c r="F56" s="128"/>
    </row>
    <row r="57" spans="1:6" ht="12.75" x14ac:dyDescent="0.2">
      <c r="A57" s="104" t="s">
        <v>42</v>
      </c>
      <c r="B57" s="173">
        <v>18800</v>
      </c>
      <c r="C57" s="258"/>
      <c r="D57" s="173">
        <f>'Support-CDE start-up grant'!B13</f>
        <v>0</v>
      </c>
      <c r="E57" s="72">
        <f t="shared" si="1"/>
        <v>18800</v>
      </c>
      <c r="F57" s="128" t="s">
        <v>441</v>
      </c>
    </row>
    <row r="58" spans="1:6" ht="12.75" x14ac:dyDescent="0.2">
      <c r="A58" s="104" t="s">
        <v>25</v>
      </c>
      <c r="B58" s="173" t="s">
        <v>76</v>
      </c>
      <c r="C58" s="258"/>
      <c r="D58" s="173">
        <f>'Support-CDE start-up grant'!B14</f>
        <v>0</v>
      </c>
      <c r="E58" s="72">
        <f t="shared" si="1"/>
        <v>0</v>
      </c>
      <c r="F58" s="128"/>
    </row>
    <row r="59" spans="1:6" ht="12.75" x14ac:dyDescent="0.2">
      <c r="A59" s="104" t="s">
        <v>193</v>
      </c>
      <c r="B59" s="173"/>
      <c r="C59" s="258"/>
      <c r="D59" s="173"/>
      <c r="E59" s="72">
        <f t="shared" si="1"/>
        <v>0</v>
      </c>
      <c r="F59" s="128"/>
    </row>
    <row r="60" spans="1:6" ht="12.75" x14ac:dyDescent="0.2">
      <c r="A60" s="104" t="s">
        <v>192</v>
      </c>
      <c r="B60" s="173"/>
      <c r="C60" s="258"/>
      <c r="D60" s="173"/>
      <c r="E60" s="72">
        <f t="shared" si="1"/>
        <v>0</v>
      </c>
      <c r="F60" s="128"/>
    </row>
    <row r="61" spans="1:6" ht="12.75" x14ac:dyDescent="0.2">
      <c r="A61" s="104" t="s">
        <v>26</v>
      </c>
      <c r="B61" s="173"/>
      <c r="C61" s="258"/>
      <c r="D61" s="173"/>
      <c r="E61" s="72">
        <f t="shared" si="1"/>
        <v>0</v>
      </c>
      <c r="F61" s="128"/>
    </row>
    <row r="62" spans="1:6" ht="12.75" x14ac:dyDescent="0.2">
      <c r="A62" s="104" t="s">
        <v>27</v>
      </c>
      <c r="B62" s="173">
        <v>300</v>
      </c>
      <c r="C62" s="258"/>
      <c r="D62" s="173"/>
      <c r="E62" s="72">
        <f t="shared" si="1"/>
        <v>300</v>
      </c>
      <c r="F62" s="128"/>
    </row>
    <row r="63" spans="1:6" ht="12.75" x14ac:dyDescent="0.2">
      <c r="A63" s="104" t="s">
        <v>41</v>
      </c>
      <c r="B63" s="173" t="s">
        <v>76</v>
      </c>
      <c r="C63" s="258"/>
      <c r="D63" s="173"/>
      <c r="E63" s="72">
        <f t="shared" si="1"/>
        <v>0</v>
      </c>
      <c r="F63" s="128"/>
    </row>
    <row r="64" spans="1:6" ht="12.75" x14ac:dyDescent="0.2">
      <c r="A64" s="104" t="s">
        <v>28</v>
      </c>
      <c r="B64" s="173">
        <v>300000</v>
      </c>
      <c r="C64" s="261"/>
      <c r="D64" s="173">
        <f>'Support-CDE start-up grant'!B15</f>
        <v>0</v>
      </c>
      <c r="E64" s="72">
        <f t="shared" si="1"/>
        <v>300000</v>
      </c>
      <c r="F64" s="128" t="s">
        <v>298</v>
      </c>
    </row>
    <row r="65" spans="1:6" ht="12.75" x14ac:dyDescent="0.2">
      <c r="A65" s="104" t="s">
        <v>29</v>
      </c>
      <c r="B65" s="173"/>
      <c r="C65" s="258"/>
      <c r="D65" s="173" t="s">
        <v>76</v>
      </c>
      <c r="E65" s="72">
        <f t="shared" si="1"/>
        <v>0</v>
      </c>
      <c r="F65" s="128"/>
    </row>
    <row r="66" spans="1:6" ht="12.75" x14ac:dyDescent="0.2">
      <c r="A66" s="104" t="s">
        <v>191</v>
      </c>
      <c r="B66" s="258"/>
      <c r="C66" s="258"/>
      <c r="D66" s="173"/>
      <c r="E66" s="72">
        <f t="shared" si="1"/>
        <v>0</v>
      </c>
      <c r="F66" s="128"/>
    </row>
    <row r="67" spans="1:6" ht="12.75" x14ac:dyDescent="0.2">
      <c r="A67" s="104" t="s">
        <v>30</v>
      </c>
      <c r="B67" s="173">
        <v>58000</v>
      </c>
      <c r="C67" s="258"/>
      <c r="D67" s="173">
        <f>'Support-CDE start-up grant'!B16+'Support-CDE start-up grant'!B17+'Support-CDE start-up grant'!B18</f>
        <v>0</v>
      </c>
      <c r="E67" s="72">
        <f t="shared" si="1"/>
        <v>58000</v>
      </c>
      <c r="F67" s="128" t="s">
        <v>299</v>
      </c>
    </row>
    <row r="68" spans="1:6" ht="12.75" x14ac:dyDescent="0.2">
      <c r="A68" s="104" t="s">
        <v>31</v>
      </c>
      <c r="B68" s="173">
        <v>1500</v>
      </c>
      <c r="C68" s="258"/>
      <c r="D68" s="173">
        <f>'Support-CDE start-up grant'!B19+'Support-CDE start-up grant'!B20+'Support-CDE start-up grant'!B21</f>
        <v>0</v>
      </c>
      <c r="E68" s="72">
        <f t="shared" si="1"/>
        <v>1500</v>
      </c>
      <c r="F68" s="128" t="s">
        <v>300</v>
      </c>
    </row>
    <row r="69" spans="1:6" ht="12.75" x14ac:dyDescent="0.2">
      <c r="A69" s="104" t="s">
        <v>32</v>
      </c>
      <c r="B69" s="173">
        <v>690</v>
      </c>
      <c r="C69" s="258"/>
      <c r="D69" s="173"/>
      <c r="E69" s="72">
        <f t="shared" si="1"/>
        <v>690</v>
      </c>
      <c r="F69" s="128" t="s">
        <v>301</v>
      </c>
    </row>
    <row r="70" spans="1:6" ht="12.75" x14ac:dyDescent="0.2">
      <c r="A70" s="104" t="s">
        <v>43</v>
      </c>
      <c r="B70" s="173"/>
      <c r="C70" s="258"/>
      <c r="D70" s="173"/>
      <c r="E70" s="72">
        <f t="shared" si="1"/>
        <v>0</v>
      </c>
      <c r="F70" s="128"/>
    </row>
    <row r="71" spans="1:6" ht="12.75" x14ac:dyDescent="0.2">
      <c r="A71" s="104" t="s">
        <v>33</v>
      </c>
      <c r="B71" s="173"/>
      <c r="C71" s="258"/>
      <c r="D71" s="173"/>
      <c r="E71" s="72">
        <f t="shared" si="1"/>
        <v>0</v>
      </c>
      <c r="F71" s="128"/>
    </row>
    <row r="72" spans="1:6" ht="12.75" x14ac:dyDescent="0.2">
      <c r="A72" s="104" t="s">
        <v>34</v>
      </c>
      <c r="B72" s="175">
        <f>50222+889</f>
        <v>51111</v>
      </c>
      <c r="C72" s="260"/>
      <c r="D72" s="175"/>
      <c r="E72" s="72">
        <f t="shared" si="1"/>
        <v>51111</v>
      </c>
      <c r="F72" s="128" t="s">
        <v>442</v>
      </c>
    </row>
    <row r="73" spans="1:6" ht="12.75" x14ac:dyDescent="0.2">
      <c r="A73" s="222" t="s">
        <v>40</v>
      </c>
      <c r="B73" s="213">
        <f>SUM(B31:B72)</f>
        <v>563364.625</v>
      </c>
      <c r="C73" s="213">
        <f>SUM(C31:C72)</f>
        <v>0</v>
      </c>
      <c r="D73" s="213">
        <f>SUM(D31:D72)</f>
        <v>0</v>
      </c>
      <c r="E73" s="213">
        <f>SUM(E31:E72)</f>
        <v>563364.625</v>
      </c>
      <c r="F73" s="128"/>
    </row>
    <row r="74" spans="1:6" ht="12.75" x14ac:dyDescent="0.2">
      <c r="A74" s="108"/>
      <c r="B74" s="21"/>
      <c r="C74" s="21"/>
      <c r="D74" s="21"/>
      <c r="E74" s="4"/>
      <c r="F74" s="128"/>
    </row>
    <row r="75" spans="1:6" ht="12.75" x14ac:dyDescent="0.2">
      <c r="A75" s="222" t="s">
        <v>82</v>
      </c>
      <c r="B75" s="213">
        <f>B28-B73</f>
        <v>36635.375</v>
      </c>
      <c r="C75" s="213">
        <f>C28-C73</f>
        <v>0</v>
      </c>
      <c r="D75" s="213">
        <f>D28-D73</f>
        <v>0</v>
      </c>
      <c r="E75" s="213">
        <f>E28-E73</f>
        <v>36635.375</v>
      </c>
      <c r="F75" s="128"/>
    </row>
    <row r="76" spans="1:6" ht="12.75" x14ac:dyDescent="0.2">
      <c r="A76" s="108"/>
      <c r="B76" s="21"/>
      <c r="C76" s="21"/>
      <c r="D76" s="21"/>
      <c r="E76" s="4"/>
      <c r="F76" s="128"/>
    </row>
    <row r="77" spans="1:6" ht="12.75" x14ac:dyDescent="0.2">
      <c r="A77" s="109" t="s">
        <v>83</v>
      </c>
      <c r="B77" s="21"/>
      <c r="C77" s="21"/>
      <c r="D77" s="24"/>
      <c r="E77" s="4"/>
      <c r="F77" s="128"/>
    </row>
    <row r="78" spans="1:6" ht="12.75" x14ac:dyDescent="0.2">
      <c r="A78" s="232" t="s">
        <v>187</v>
      </c>
      <c r="B78" s="21">
        <v>0</v>
      </c>
      <c r="C78" s="21"/>
      <c r="D78" s="21"/>
      <c r="E78" s="4">
        <f>SUM(B78:D78)</f>
        <v>0</v>
      </c>
      <c r="F78" s="130"/>
    </row>
    <row r="79" spans="1:6" ht="12.75" x14ac:dyDescent="0.2">
      <c r="A79" s="108" t="s">
        <v>84</v>
      </c>
      <c r="B79" s="88"/>
      <c r="C79" s="88"/>
      <c r="D79" s="88"/>
      <c r="E79" s="4"/>
      <c r="F79" s="128"/>
    </row>
    <row r="80" spans="1:6" ht="12.75" x14ac:dyDescent="0.2">
      <c r="A80" s="217" t="s">
        <v>45</v>
      </c>
      <c r="B80" s="224">
        <f>B75-B79</f>
        <v>36635.375</v>
      </c>
      <c r="C80" s="224">
        <f>C75-C79</f>
        <v>0</v>
      </c>
      <c r="D80" s="224">
        <f>D75-D79</f>
        <v>0</v>
      </c>
      <c r="E80" s="224">
        <f>E75-E79</f>
        <v>36635.375</v>
      </c>
      <c r="F80" s="128"/>
    </row>
    <row r="81" spans="1:6" ht="12.75" x14ac:dyDescent="0.2">
      <c r="A81" s="110"/>
      <c r="B81" s="14"/>
      <c r="C81" s="14"/>
      <c r="D81" s="14"/>
      <c r="E81" s="66"/>
      <c r="F81" s="128"/>
    </row>
    <row r="82" spans="1:6" ht="12.75" x14ac:dyDescent="0.2">
      <c r="A82" s="110" t="s">
        <v>95</v>
      </c>
      <c r="B82" s="14"/>
      <c r="C82" s="14"/>
      <c r="D82" s="14"/>
      <c r="E82" s="28">
        <v>0</v>
      </c>
      <c r="F82" s="128"/>
    </row>
    <row r="83" spans="1:6" ht="12.75" x14ac:dyDescent="0.2">
      <c r="A83" s="110"/>
      <c r="B83" s="14"/>
      <c r="C83" s="14"/>
      <c r="D83" s="14"/>
      <c r="E83" s="28"/>
      <c r="F83" s="128"/>
    </row>
    <row r="84" spans="1:6" ht="12.75" x14ac:dyDescent="0.2">
      <c r="A84" s="110" t="s">
        <v>96</v>
      </c>
      <c r="B84" s="14"/>
      <c r="C84" s="14"/>
      <c r="D84" s="14"/>
      <c r="E84" s="28">
        <v>215000</v>
      </c>
      <c r="F84" s="128"/>
    </row>
    <row r="85" spans="1:6" ht="12.75" x14ac:dyDescent="0.2">
      <c r="A85" s="111" t="s">
        <v>97</v>
      </c>
      <c r="B85" s="14"/>
      <c r="C85" s="14"/>
      <c r="D85" s="14"/>
      <c r="E85" s="24">
        <v>130000</v>
      </c>
      <c r="F85" s="130"/>
    </row>
    <row r="86" spans="1:6" ht="12.75" x14ac:dyDescent="0.2">
      <c r="A86" s="111" t="s">
        <v>98</v>
      </c>
      <c r="B86" s="14"/>
      <c r="C86" s="14"/>
      <c r="D86" s="14"/>
      <c r="E86" s="24">
        <f>E84-E85</f>
        <v>85000</v>
      </c>
      <c r="F86" s="130"/>
    </row>
    <row r="87" spans="1:6" ht="15" customHeight="1" x14ac:dyDescent="0.2">
      <c r="A87" s="116" t="s">
        <v>99</v>
      </c>
      <c r="B87" s="14"/>
      <c r="C87" s="14"/>
      <c r="D87" s="14"/>
      <c r="E87" s="113">
        <f>E86/E73</f>
        <v>0.15087919302707373</v>
      </c>
      <c r="F87" s="130"/>
    </row>
    <row r="88" spans="1:6" ht="15" customHeight="1" x14ac:dyDescent="0.2">
      <c r="A88" s="117"/>
      <c r="B88" s="68"/>
      <c r="C88" s="68"/>
      <c r="D88" s="68"/>
      <c r="E88" s="69"/>
      <c r="F88" s="134"/>
    </row>
  </sheetData>
  <mergeCells count="1">
    <mergeCell ref="B3:E3"/>
  </mergeCells>
  <phoneticPr fontId="2" type="noConversion"/>
  <printOptions horizontalCentered="1"/>
  <pageMargins left="0.25" right="0.25" top="0.45" bottom="0.62" header="0.2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90"/>
  <sheetViews>
    <sheetView view="pageBreakPreview" topLeftCell="A36" zoomScaleNormal="80" zoomScaleSheetLayoutView="100" workbookViewId="0">
      <selection activeCell="B31" sqref="B31"/>
    </sheetView>
  </sheetViews>
  <sheetFormatPr defaultColWidth="11.42578125" defaultRowHeight="12.75" x14ac:dyDescent="0.2"/>
  <cols>
    <col min="1" max="1" width="39.5703125" style="1" customWidth="1"/>
    <col min="2" max="5" width="12.7109375" style="1" customWidth="1"/>
    <col min="6" max="6" width="45.7109375" style="48" customWidth="1"/>
    <col min="7" max="16384" width="11.42578125" style="1"/>
  </cols>
  <sheetData>
    <row r="1" spans="1:7" ht="18.75" x14ac:dyDescent="0.3">
      <c r="A1" s="99" t="str">
        <f>'Page 3-Assumptions'!A1</f>
        <v>Colorado Military Academy</v>
      </c>
      <c r="B1" s="100"/>
      <c r="C1" s="100"/>
      <c r="D1" s="100"/>
      <c r="E1" s="64"/>
      <c r="F1" s="136" t="s">
        <v>186</v>
      </c>
      <c r="G1" s="82"/>
    </row>
    <row r="2" spans="1:7" ht="18.75" x14ac:dyDescent="0.3">
      <c r="A2" s="101" t="str">
        <f>B3</f>
        <v>YEAR 1</v>
      </c>
      <c r="B2" s="14"/>
      <c r="C2" s="14"/>
      <c r="D2" s="14"/>
      <c r="E2" s="66"/>
      <c r="F2" s="114"/>
      <c r="G2" s="82"/>
    </row>
    <row r="3" spans="1:7" s="2" customFormat="1" x14ac:dyDescent="0.2">
      <c r="A3" s="102"/>
      <c r="B3" s="391" t="str">
        <f>'Page 10-6 yr Budget-detail'!C4</f>
        <v>YEAR 1</v>
      </c>
      <c r="C3" s="392"/>
      <c r="D3" s="392"/>
      <c r="E3" s="393"/>
      <c r="F3" s="121"/>
      <c r="G3" s="83"/>
    </row>
    <row r="4" spans="1:7" s="2" customFormat="1" ht="25.5" x14ac:dyDescent="0.2">
      <c r="A4" s="67"/>
      <c r="B4" s="3" t="s">
        <v>44</v>
      </c>
      <c r="C4" s="3" t="s">
        <v>133</v>
      </c>
      <c r="D4" s="3" t="s">
        <v>243</v>
      </c>
      <c r="E4" s="3" t="s">
        <v>35</v>
      </c>
      <c r="F4" s="122" t="s">
        <v>77</v>
      </c>
    </row>
    <row r="5" spans="1:7" s="2" customFormat="1" x14ac:dyDescent="0.2">
      <c r="A5" s="103" t="s">
        <v>89</v>
      </c>
      <c r="B5" s="19"/>
      <c r="C5" s="19"/>
      <c r="D5" s="19"/>
      <c r="E5" s="60">
        <f>'Page 1-Enrollment Plan'!B20</f>
        <v>574</v>
      </c>
      <c r="F5" s="132"/>
    </row>
    <row r="6" spans="1:7" s="2" customFormat="1" x14ac:dyDescent="0.2">
      <c r="A6" s="103" t="s">
        <v>59</v>
      </c>
      <c r="B6" s="19"/>
      <c r="C6" s="19"/>
      <c r="D6" s="19"/>
      <c r="E6" s="59">
        <f>'Page 1-Enrollment Plan'!B22</f>
        <v>543.76</v>
      </c>
      <c r="F6" s="127"/>
    </row>
    <row r="7" spans="1:7" s="2" customFormat="1" x14ac:dyDescent="0.2">
      <c r="A7" s="67" t="s">
        <v>37</v>
      </c>
      <c r="B7" s="19"/>
      <c r="C7" s="19"/>
      <c r="D7" s="19"/>
      <c r="E7" s="5"/>
      <c r="F7" s="127"/>
    </row>
    <row r="8" spans="1:7" x14ac:dyDescent="0.2">
      <c r="A8" s="104" t="s">
        <v>0</v>
      </c>
      <c r="B8" s="258"/>
      <c r="C8" s="258"/>
      <c r="D8" s="173"/>
      <c r="E8" s="72">
        <f t="shared" ref="E8:E27" si="0">SUM(B8:D8)</f>
        <v>0</v>
      </c>
      <c r="F8" s="128"/>
    </row>
    <row r="9" spans="1:7" x14ac:dyDescent="0.2">
      <c r="A9" s="104" t="s">
        <v>210</v>
      </c>
      <c r="B9" s="90">
        <f>'Page 1-Enrollment Plan'!B6*'Page 3-Assumptions'!C18</f>
        <v>0</v>
      </c>
      <c r="C9" s="173"/>
      <c r="D9" s="173"/>
      <c r="E9" s="72">
        <f>SUM(B9:D9)</f>
        <v>0</v>
      </c>
      <c r="F9" s="128"/>
    </row>
    <row r="10" spans="1:7" x14ac:dyDescent="0.2">
      <c r="A10" s="104" t="s">
        <v>209</v>
      </c>
      <c r="B10" s="90">
        <v>0</v>
      </c>
      <c r="C10" s="90" t="s">
        <v>76</v>
      </c>
      <c r="D10" s="90"/>
      <c r="E10" s="72">
        <f t="shared" si="0"/>
        <v>0</v>
      </c>
      <c r="F10" s="128"/>
    </row>
    <row r="11" spans="1:7" x14ac:dyDescent="0.2">
      <c r="A11" s="104" t="s">
        <v>1</v>
      </c>
      <c r="B11" s="258"/>
      <c r="C11" s="173"/>
      <c r="D11" s="173"/>
      <c r="E11" s="72">
        <f t="shared" si="0"/>
        <v>0</v>
      </c>
      <c r="F11" s="128"/>
    </row>
    <row r="12" spans="1:7" x14ac:dyDescent="0.2">
      <c r="A12" s="104" t="s">
        <v>444</v>
      </c>
      <c r="B12" s="173">
        <v>186444</v>
      </c>
      <c r="C12" s="173"/>
      <c r="D12" s="173"/>
      <c r="E12" s="72">
        <f t="shared" si="0"/>
        <v>186444</v>
      </c>
      <c r="F12" s="128"/>
    </row>
    <row r="13" spans="1:7" x14ac:dyDescent="0.2">
      <c r="A13" s="104" t="s">
        <v>2</v>
      </c>
      <c r="B13" s="259">
        <v>9001</v>
      </c>
      <c r="C13" s="173"/>
      <c r="D13" s="173"/>
      <c r="E13" s="72">
        <f t="shared" si="0"/>
        <v>9001</v>
      </c>
      <c r="F13" s="128" t="s">
        <v>357</v>
      </c>
    </row>
    <row r="14" spans="1:7" x14ac:dyDescent="0.2">
      <c r="A14" s="104" t="s">
        <v>3</v>
      </c>
      <c r="B14" s="258">
        <v>72000</v>
      </c>
      <c r="C14" s="173"/>
      <c r="D14" s="173"/>
      <c r="E14" s="72">
        <f t="shared" si="0"/>
        <v>72000</v>
      </c>
      <c r="F14" s="128" t="s">
        <v>293</v>
      </c>
    </row>
    <row r="15" spans="1:7" x14ac:dyDescent="0.2">
      <c r="A15" s="105" t="s">
        <v>4</v>
      </c>
      <c r="B15" s="258">
        <v>75000</v>
      </c>
      <c r="C15" s="173"/>
      <c r="D15" s="173"/>
      <c r="E15" s="72">
        <f t="shared" si="0"/>
        <v>75000</v>
      </c>
      <c r="F15" s="128" t="s">
        <v>281</v>
      </c>
    </row>
    <row r="16" spans="1:7" x14ac:dyDescent="0.2">
      <c r="A16" s="105" t="s">
        <v>5</v>
      </c>
      <c r="B16" s="90">
        <v>136608</v>
      </c>
      <c r="C16" s="90"/>
      <c r="D16" s="90"/>
      <c r="E16" s="72">
        <f t="shared" si="0"/>
        <v>136608</v>
      </c>
      <c r="F16" s="128"/>
    </row>
    <row r="17" spans="1:6" x14ac:dyDescent="0.2">
      <c r="A17" s="105" t="s">
        <v>232</v>
      </c>
      <c r="B17" s="90">
        <v>53000</v>
      </c>
      <c r="C17" s="90"/>
      <c r="D17" s="90"/>
      <c r="E17" s="72">
        <f t="shared" si="0"/>
        <v>53000</v>
      </c>
      <c r="F17" s="128"/>
    </row>
    <row r="18" spans="1:6" x14ac:dyDescent="0.2">
      <c r="A18" s="104" t="s">
        <v>234</v>
      </c>
      <c r="B18" s="90">
        <v>9000</v>
      </c>
      <c r="C18" s="90">
        <f>'Page 3-Assumptions'!$C$9</f>
        <v>0</v>
      </c>
      <c r="D18" s="90"/>
      <c r="E18" s="72">
        <f t="shared" si="0"/>
        <v>9000</v>
      </c>
      <c r="F18" s="128"/>
    </row>
    <row r="19" spans="1:6" x14ac:dyDescent="0.2">
      <c r="A19" s="104" t="s">
        <v>188</v>
      </c>
      <c r="B19" s="90">
        <f>'Page 3-Assumptions'!C13</f>
        <v>500</v>
      </c>
      <c r="C19" s="90"/>
      <c r="D19" s="90"/>
      <c r="E19" s="72">
        <f t="shared" si="0"/>
        <v>500</v>
      </c>
      <c r="F19" s="128"/>
    </row>
    <row r="20" spans="1:6" x14ac:dyDescent="0.2">
      <c r="A20" s="104" t="s">
        <v>196</v>
      </c>
      <c r="B20" s="258"/>
      <c r="C20" s="173"/>
      <c r="D20" s="173"/>
      <c r="E20" s="72">
        <f t="shared" si="0"/>
        <v>0</v>
      </c>
      <c r="F20" s="128"/>
    </row>
    <row r="21" spans="1:6" x14ac:dyDescent="0.2">
      <c r="A21" s="104" t="s">
        <v>179</v>
      </c>
      <c r="B21" s="90"/>
      <c r="C21" s="90">
        <v>80825</v>
      </c>
      <c r="D21" s="90"/>
      <c r="E21" s="72">
        <f t="shared" si="0"/>
        <v>80825</v>
      </c>
      <c r="F21" s="128"/>
    </row>
    <row r="22" spans="1:6" x14ac:dyDescent="0.2">
      <c r="A22" s="104" t="s">
        <v>233</v>
      </c>
      <c r="B22" s="90"/>
      <c r="C22" s="90">
        <v>82721</v>
      </c>
      <c r="D22" s="90"/>
      <c r="E22" s="72">
        <f t="shared" si="0"/>
        <v>82721</v>
      </c>
      <c r="F22" s="128"/>
    </row>
    <row r="23" spans="1:6" x14ac:dyDescent="0.2">
      <c r="A23" s="118" t="s">
        <v>180</v>
      </c>
      <c r="B23" s="90"/>
      <c r="C23" s="90">
        <f>'Page 3-Assumptions'!$C$16</f>
        <v>1578.5</v>
      </c>
      <c r="D23" s="90"/>
      <c r="E23" s="72">
        <f>SUM(B23:D23)</f>
        <v>1578.5</v>
      </c>
      <c r="F23" s="128"/>
    </row>
    <row r="24" spans="1:6" x14ac:dyDescent="0.2">
      <c r="A24" s="118" t="s">
        <v>197</v>
      </c>
      <c r="B24" s="173"/>
      <c r="C24" s="173"/>
      <c r="D24" s="173"/>
      <c r="E24" s="72">
        <f t="shared" si="0"/>
        <v>0</v>
      </c>
      <c r="F24" s="128"/>
    </row>
    <row r="25" spans="1:6" x14ac:dyDescent="0.2">
      <c r="A25" s="118" t="s">
        <v>181</v>
      </c>
      <c r="B25" s="90"/>
      <c r="C25" s="90"/>
      <c r="D25" s="173">
        <v>340845</v>
      </c>
      <c r="E25" s="72">
        <f t="shared" si="0"/>
        <v>340845</v>
      </c>
      <c r="F25" s="128"/>
    </row>
    <row r="26" spans="1:6" x14ac:dyDescent="0.2">
      <c r="A26" s="118" t="s">
        <v>131</v>
      </c>
      <c r="B26" s="90">
        <f>E6*'Page 3-Assumptions'!C5</f>
        <v>4296791.5199999996</v>
      </c>
      <c r="C26" s="90"/>
      <c r="D26" s="90"/>
      <c r="E26" s="72">
        <f t="shared" si="0"/>
        <v>4296791.5199999996</v>
      </c>
      <c r="F26" s="128"/>
    </row>
    <row r="27" spans="1:6" x14ac:dyDescent="0.2">
      <c r="A27" s="263" t="s">
        <v>182</v>
      </c>
      <c r="B27" s="141">
        <f>'Page 3-Assumptions'!C6</f>
        <v>0</v>
      </c>
      <c r="C27" s="141"/>
      <c r="D27" s="141"/>
      <c r="E27" s="72">
        <f t="shared" si="0"/>
        <v>0</v>
      </c>
      <c r="F27" s="128"/>
    </row>
    <row r="28" spans="1:6" x14ac:dyDescent="0.2">
      <c r="A28" s="217" t="s">
        <v>38</v>
      </c>
      <c r="B28" s="213">
        <f>SUM(B8:B27)</f>
        <v>4838344.5199999996</v>
      </c>
      <c r="C28" s="213">
        <f>SUM(C8:C27)</f>
        <v>165124.5</v>
      </c>
      <c r="D28" s="213">
        <f>SUM(D8:D27)</f>
        <v>340845</v>
      </c>
      <c r="E28" s="213">
        <f>SUM(E8:E27)</f>
        <v>5344314.0199999996</v>
      </c>
      <c r="F28" s="128"/>
    </row>
    <row r="29" spans="1:6" x14ac:dyDescent="0.2">
      <c r="A29" s="106"/>
      <c r="B29" s="91"/>
      <c r="C29" s="91"/>
      <c r="D29" s="91"/>
      <c r="E29" s="74"/>
      <c r="F29" s="128"/>
    </row>
    <row r="30" spans="1:6" x14ac:dyDescent="0.2">
      <c r="A30" s="107" t="s">
        <v>39</v>
      </c>
      <c r="B30" s="90"/>
      <c r="C30" s="90"/>
      <c r="D30" s="90"/>
      <c r="E30" s="72"/>
      <c r="F30" s="128"/>
    </row>
    <row r="31" spans="1:6" x14ac:dyDescent="0.2">
      <c r="A31" s="104" t="s">
        <v>93</v>
      </c>
      <c r="B31" s="374">
        <f>'Page 2-Staffing Plan'!C32-(C31+D31)+22000+28000</f>
        <v>2268380</v>
      </c>
      <c r="C31" s="173">
        <f>('Page 2-Staffing Plan'!C19*'Page 2-Staffing Plan'!$I19+'Page 2-Staffing Plan'!C10*'Page 2-Staffing Plan'!$I10+'Page 2-Staffing Plan'!$I25)</f>
        <v>300000</v>
      </c>
      <c r="D31" s="173"/>
      <c r="E31" s="72">
        <f>SUM(B31:D31)</f>
        <v>2568380</v>
      </c>
      <c r="F31" s="128"/>
    </row>
    <row r="32" spans="1:6" x14ac:dyDescent="0.2">
      <c r="A32" s="104" t="s">
        <v>6</v>
      </c>
      <c r="B32" s="90">
        <f>('Page 3-Assumptions'!B33* 'Page 3-Assumptions'!B34)*('Page 2-Staffing Plan'!C15)</f>
        <v>24640</v>
      </c>
      <c r="C32" s="173"/>
      <c r="D32" s="173"/>
      <c r="E32" s="72">
        <f t="shared" ref="E32:E72" si="1">SUM(B32:D32)</f>
        <v>24640</v>
      </c>
      <c r="F32" s="128"/>
    </row>
    <row r="33" spans="1:13" x14ac:dyDescent="0.2">
      <c r="A33" s="104" t="s">
        <v>7</v>
      </c>
      <c r="B33" s="202">
        <f>((E31+E32)*1.45%)-C33</f>
        <v>33248.79</v>
      </c>
      <c r="C33" s="90">
        <f>ROUND((C31+C32)*1.45%,0)</f>
        <v>4350</v>
      </c>
      <c r="D33" s="173"/>
      <c r="E33" s="72">
        <f t="shared" si="1"/>
        <v>37598.79</v>
      </c>
      <c r="F33" s="128"/>
    </row>
    <row r="34" spans="1:13" x14ac:dyDescent="0.2">
      <c r="A34" s="104" t="s">
        <v>8</v>
      </c>
      <c r="B34" s="90"/>
      <c r="C34" s="173"/>
      <c r="D34" s="173"/>
      <c r="E34" s="72">
        <f t="shared" si="1"/>
        <v>0</v>
      </c>
      <c r="F34" s="128"/>
    </row>
    <row r="35" spans="1:13" x14ac:dyDescent="0.2">
      <c r="A35" s="104" t="s">
        <v>189</v>
      </c>
      <c r="B35" s="90">
        <f>((E31+E32)*'Page 3-Assumptions'!C25)-C35</f>
        <v>462043.53</v>
      </c>
      <c r="C35" s="202">
        <f>C31*'Page 3-Assumptions'!C25</f>
        <v>60450.000000000007</v>
      </c>
      <c r="D35" s="173"/>
      <c r="E35" s="72">
        <f t="shared" si="1"/>
        <v>522493.53</v>
      </c>
      <c r="F35" s="128"/>
    </row>
    <row r="36" spans="1:13" x14ac:dyDescent="0.2">
      <c r="A36" s="104" t="s">
        <v>9</v>
      </c>
      <c r="B36" s="90">
        <v>82000</v>
      </c>
      <c r="C36" s="173"/>
      <c r="D36" s="173"/>
      <c r="E36" s="72">
        <f t="shared" si="1"/>
        <v>82000</v>
      </c>
      <c r="F36" s="128"/>
    </row>
    <row r="37" spans="1:13" x14ac:dyDescent="0.2">
      <c r="A37" s="104" t="s">
        <v>10</v>
      </c>
      <c r="B37" s="90">
        <v>6240</v>
      </c>
      <c r="C37" s="173"/>
      <c r="D37" s="173"/>
      <c r="E37" s="72">
        <f t="shared" si="1"/>
        <v>6240</v>
      </c>
      <c r="F37" s="128"/>
    </row>
    <row r="38" spans="1:13" x14ac:dyDescent="0.2">
      <c r="A38" s="105" t="s">
        <v>11</v>
      </c>
      <c r="B38" s="90">
        <v>2400</v>
      </c>
      <c r="C38" s="173"/>
      <c r="D38" s="173"/>
      <c r="E38" s="72">
        <f t="shared" si="1"/>
        <v>2400</v>
      </c>
      <c r="F38" s="128"/>
    </row>
    <row r="39" spans="1:13" x14ac:dyDescent="0.2">
      <c r="A39" s="104" t="s">
        <v>194</v>
      </c>
      <c r="B39" s="90">
        <v>22411</v>
      </c>
      <c r="C39" s="258"/>
      <c r="D39" s="173"/>
      <c r="E39" s="72">
        <f t="shared" si="1"/>
        <v>22411</v>
      </c>
      <c r="F39" s="128"/>
    </row>
    <row r="40" spans="1:13" x14ac:dyDescent="0.2">
      <c r="A40" s="105" t="s">
        <v>119</v>
      </c>
      <c r="B40" s="90">
        <v>8580</v>
      </c>
      <c r="C40" s="173"/>
      <c r="D40" s="173"/>
      <c r="E40" s="72">
        <f t="shared" si="1"/>
        <v>8580</v>
      </c>
      <c r="F40" s="128"/>
      <c r="G40" s="1" t="s">
        <v>76</v>
      </c>
    </row>
    <row r="41" spans="1:13" x14ac:dyDescent="0.2">
      <c r="A41" s="105" t="s">
        <v>12</v>
      </c>
      <c r="B41" s="90">
        <v>7000</v>
      </c>
      <c r="C41" s="173">
        <v>50677</v>
      </c>
      <c r="D41" s="173"/>
      <c r="E41" s="72">
        <f t="shared" si="1"/>
        <v>57677</v>
      </c>
      <c r="F41" s="128"/>
    </row>
    <row r="42" spans="1:13" x14ac:dyDescent="0.2">
      <c r="A42" s="104" t="s">
        <v>190</v>
      </c>
      <c r="B42" s="90">
        <v>11337</v>
      </c>
      <c r="C42" s="173"/>
      <c r="D42" s="173"/>
      <c r="E42" s="72">
        <f t="shared" si="1"/>
        <v>11337</v>
      </c>
      <c r="F42" s="128"/>
      <c r="M42" s="1" t="s">
        <v>94</v>
      </c>
    </row>
    <row r="43" spans="1:13" x14ac:dyDescent="0.2">
      <c r="A43" s="105" t="s">
        <v>13</v>
      </c>
      <c r="B43" s="258">
        <v>30000</v>
      </c>
      <c r="C43" s="173"/>
      <c r="D43" s="173">
        <f>'Support-CDE start-up grant'!C11</f>
        <v>0</v>
      </c>
      <c r="E43" s="72">
        <f t="shared" si="1"/>
        <v>30000</v>
      </c>
      <c r="F43" s="128"/>
    </row>
    <row r="44" spans="1:13" x14ac:dyDescent="0.2">
      <c r="A44" s="105" t="s">
        <v>14</v>
      </c>
      <c r="B44" s="258">
        <v>11000</v>
      </c>
      <c r="C44" s="173"/>
      <c r="D44" s="173">
        <f>'Support-CDE start-up grant'!C10</f>
        <v>0</v>
      </c>
      <c r="E44" s="72">
        <f t="shared" si="1"/>
        <v>11000</v>
      </c>
      <c r="F44" s="128" t="s">
        <v>76</v>
      </c>
    </row>
    <row r="45" spans="1:13" x14ac:dyDescent="0.2">
      <c r="A45" s="105" t="s">
        <v>15</v>
      </c>
      <c r="B45" s="258">
        <v>107422</v>
      </c>
      <c r="C45" s="173"/>
      <c r="D45" s="173"/>
      <c r="E45" s="72">
        <f t="shared" si="1"/>
        <v>107422</v>
      </c>
      <c r="F45" s="128"/>
    </row>
    <row r="46" spans="1:13" x14ac:dyDescent="0.2">
      <c r="A46" s="105" t="s">
        <v>16</v>
      </c>
      <c r="B46" s="258">
        <v>25404</v>
      </c>
      <c r="C46" s="173"/>
      <c r="D46" s="173">
        <f>'Support-CDE start-up grant'!C12</f>
        <v>0</v>
      </c>
      <c r="E46" s="72">
        <f t="shared" si="1"/>
        <v>25404</v>
      </c>
      <c r="F46" s="128"/>
    </row>
    <row r="47" spans="1:13" x14ac:dyDescent="0.2">
      <c r="A47" s="104" t="s">
        <v>211</v>
      </c>
      <c r="B47" s="258">
        <v>153817</v>
      </c>
      <c r="C47" s="258"/>
      <c r="D47" s="173"/>
      <c r="E47" s="72">
        <f t="shared" si="1"/>
        <v>153817</v>
      </c>
      <c r="F47" s="128"/>
    </row>
    <row r="48" spans="1:13" x14ac:dyDescent="0.2">
      <c r="A48" s="105" t="s">
        <v>17</v>
      </c>
      <c r="B48" s="258">
        <v>50403</v>
      </c>
      <c r="C48" s="173"/>
      <c r="D48" s="173"/>
      <c r="E48" s="72">
        <f t="shared" si="1"/>
        <v>50403</v>
      </c>
      <c r="F48" s="128"/>
    </row>
    <row r="49" spans="1:7" x14ac:dyDescent="0.2">
      <c r="A49" s="105" t="s">
        <v>18</v>
      </c>
      <c r="B49" s="258">
        <v>39000</v>
      </c>
      <c r="C49" s="173"/>
      <c r="D49" s="173"/>
      <c r="E49" s="72">
        <f t="shared" si="1"/>
        <v>39000</v>
      </c>
      <c r="F49" s="128"/>
    </row>
    <row r="50" spans="1:7" x14ac:dyDescent="0.2">
      <c r="A50" s="105" t="s">
        <v>19</v>
      </c>
      <c r="B50" s="90">
        <f>108000*4+27000*8</f>
        <v>648000</v>
      </c>
      <c r="C50" s="173"/>
      <c r="D50" s="173"/>
      <c r="E50" s="72">
        <f t="shared" si="1"/>
        <v>648000</v>
      </c>
      <c r="F50" s="128"/>
    </row>
    <row r="51" spans="1:7" x14ac:dyDescent="0.2">
      <c r="A51" s="105" t="s">
        <v>20</v>
      </c>
      <c r="B51" s="90">
        <v>0</v>
      </c>
      <c r="C51" s="173"/>
      <c r="D51" s="173"/>
      <c r="E51" s="72">
        <f t="shared" si="1"/>
        <v>0</v>
      </c>
      <c r="F51" s="128"/>
    </row>
    <row r="52" spans="1:7" x14ac:dyDescent="0.2">
      <c r="A52" s="104" t="s">
        <v>255</v>
      </c>
      <c r="B52" s="90">
        <v>44000</v>
      </c>
      <c r="C52" s="173"/>
      <c r="D52" s="173"/>
      <c r="E52" s="72">
        <f t="shared" si="1"/>
        <v>44000</v>
      </c>
      <c r="F52" s="128"/>
    </row>
    <row r="53" spans="1:7" x14ac:dyDescent="0.2">
      <c r="A53" s="105" t="s">
        <v>21</v>
      </c>
      <c r="B53" s="90">
        <v>29943</v>
      </c>
      <c r="C53" s="173"/>
      <c r="D53" s="173"/>
      <c r="E53" s="72">
        <f t="shared" si="1"/>
        <v>29943</v>
      </c>
      <c r="F53" s="128"/>
    </row>
    <row r="54" spans="1:7" x14ac:dyDescent="0.2">
      <c r="A54" s="105" t="s">
        <v>22</v>
      </c>
      <c r="B54" s="90">
        <v>18729</v>
      </c>
      <c r="C54" s="173"/>
      <c r="D54" s="173"/>
      <c r="E54" s="72">
        <f t="shared" si="1"/>
        <v>18729</v>
      </c>
      <c r="F54" s="128"/>
    </row>
    <row r="55" spans="1:7" x14ac:dyDescent="0.2">
      <c r="A55" s="105" t="s">
        <v>23</v>
      </c>
      <c r="B55" s="258">
        <v>4320</v>
      </c>
      <c r="C55" s="173"/>
      <c r="D55" s="173"/>
      <c r="E55" s="72">
        <f t="shared" si="1"/>
        <v>4320</v>
      </c>
      <c r="F55" s="128"/>
    </row>
    <row r="56" spans="1:7" x14ac:dyDescent="0.2">
      <c r="A56" s="105" t="s">
        <v>24</v>
      </c>
      <c r="B56" s="90">
        <v>13409</v>
      </c>
      <c r="C56" s="173"/>
      <c r="D56" s="173"/>
      <c r="E56" s="72">
        <f t="shared" si="1"/>
        <v>13409</v>
      </c>
      <c r="F56" s="128"/>
    </row>
    <row r="57" spans="1:7" x14ac:dyDescent="0.2">
      <c r="A57" s="105" t="s">
        <v>42</v>
      </c>
      <c r="B57" s="90">
        <v>159631</v>
      </c>
      <c r="C57" s="173"/>
      <c r="D57" s="173">
        <f>'Support-CDE start-up grant'!C13</f>
        <v>0</v>
      </c>
      <c r="E57" s="72">
        <f t="shared" si="1"/>
        <v>159631</v>
      </c>
      <c r="F57" s="128"/>
    </row>
    <row r="58" spans="1:7" x14ac:dyDescent="0.2">
      <c r="A58" s="104" t="s">
        <v>25</v>
      </c>
      <c r="B58" s="90">
        <v>6284</v>
      </c>
      <c r="C58" s="173"/>
      <c r="D58" s="176">
        <f>'Support-CDE start-up grant'!C14</f>
        <v>0</v>
      </c>
      <c r="E58" s="72">
        <f t="shared" si="1"/>
        <v>6284</v>
      </c>
      <c r="F58" s="128"/>
    </row>
    <row r="59" spans="1:7" x14ac:dyDescent="0.2">
      <c r="A59" s="105" t="s">
        <v>193</v>
      </c>
      <c r="B59" s="90">
        <v>85932</v>
      </c>
      <c r="C59" s="173"/>
      <c r="D59" s="173"/>
      <c r="E59" s="72">
        <f t="shared" si="1"/>
        <v>85932</v>
      </c>
      <c r="F59" s="128"/>
    </row>
    <row r="60" spans="1:7" x14ac:dyDescent="0.2">
      <c r="A60" s="104" t="s">
        <v>192</v>
      </c>
      <c r="B60" s="90">
        <f>B26*'Page 3-Assumptions'!C24</f>
        <v>42967.915199999996</v>
      </c>
      <c r="C60" s="173"/>
      <c r="D60" s="173"/>
      <c r="E60" s="72">
        <f t="shared" si="1"/>
        <v>42967.915199999996</v>
      </c>
      <c r="F60" s="128"/>
      <c r="G60" s="1" t="s">
        <v>76</v>
      </c>
    </row>
    <row r="61" spans="1:7" x14ac:dyDescent="0.2">
      <c r="A61" s="104" t="s">
        <v>26</v>
      </c>
      <c r="B61" s="90">
        <v>19383</v>
      </c>
      <c r="C61" s="173"/>
      <c r="D61" s="173"/>
      <c r="E61" s="72">
        <f t="shared" si="1"/>
        <v>19383</v>
      </c>
      <c r="F61" s="128"/>
    </row>
    <row r="62" spans="1:7" x14ac:dyDescent="0.2">
      <c r="A62" s="104" t="s">
        <v>27</v>
      </c>
      <c r="B62" s="90">
        <v>14000</v>
      </c>
      <c r="C62" s="173"/>
      <c r="D62" s="173"/>
      <c r="E62" s="72">
        <f t="shared" si="1"/>
        <v>14000</v>
      </c>
      <c r="F62" s="128"/>
    </row>
    <row r="63" spans="1:7" x14ac:dyDescent="0.2">
      <c r="A63" s="104" t="s">
        <v>41</v>
      </c>
      <c r="B63" s="90">
        <v>0</v>
      </c>
      <c r="C63" s="173"/>
      <c r="D63" s="173"/>
      <c r="E63" s="72">
        <f t="shared" si="1"/>
        <v>0</v>
      </c>
      <c r="F63" s="128"/>
    </row>
    <row r="64" spans="1:7" x14ac:dyDescent="0.2">
      <c r="A64" s="104" t="s">
        <v>28</v>
      </c>
      <c r="B64" s="258">
        <v>218500</v>
      </c>
      <c r="C64" s="173"/>
      <c r="D64" s="173">
        <f>'Support-CDE start-up grant'!C15</f>
        <v>0</v>
      </c>
      <c r="E64" s="72">
        <f t="shared" si="1"/>
        <v>218500</v>
      </c>
      <c r="F64" s="128"/>
    </row>
    <row r="65" spans="1:6" x14ac:dyDescent="0.2">
      <c r="A65" s="104" t="s">
        <v>29</v>
      </c>
      <c r="B65" s="258">
        <v>600</v>
      </c>
      <c r="C65" s="173"/>
      <c r="D65" s="173">
        <v>260845</v>
      </c>
      <c r="E65" s="72">
        <f t="shared" si="1"/>
        <v>261445</v>
      </c>
      <c r="F65" s="128"/>
    </row>
    <row r="66" spans="1:6" x14ac:dyDescent="0.2">
      <c r="A66" s="104" t="s">
        <v>191</v>
      </c>
      <c r="B66" s="258">
        <v>15000</v>
      </c>
      <c r="C66" s="173"/>
      <c r="D66" s="173"/>
      <c r="E66" s="72">
        <f t="shared" si="1"/>
        <v>15000</v>
      </c>
      <c r="F66" s="128"/>
    </row>
    <row r="67" spans="1:6" x14ac:dyDescent="0.2">
      <c r="A67" s="104" t="s">
        <v>30</v>
      </c>
      <c r="B67" s="258">
        <v>2000</v>
      </c>
      <c r="C67" s="173"/>
      <c r="D67" s="173">
        <v>40000</v>
      </c>
      <c r="E67" s="72">
        <f t="shared" si="1"/>
        <v>42000</v>
      </c>
      <c r="F67" s="128"/>
    </row>
    <row r="68" spans="1:6" x14ac:dyDescent="0.2">
      <c r="A68" s="104" t="s">
        <v>31</v>
      </c>
      <c r="B68" s="258">
        <v>19400</v>
      </c>
      <c r="C68" s="173"/>
      <c r="D68" s="173">
        <v>40000</v>
      </c>
      <c r="E68" s="72">
        <f t="shared" si="1"/>
        <v>59400</v>
      </c>
      <c r="F68" s="128"/>
    </row>
    <row r="69" spans="1:6" x14ac:dyDescent="0.2">
      <c r="A69" s="104" t="s">
        <v>32</v>
      </c>
      <c r="B69" s="90">
        <v>4600</v>
      </c>
      <c r="C69" s="173"/>
      <c r="D69" s="173"/>
      <c r="E69" s="72">
        <f t="shared" si="1"/>
        <v>4600</v>
      </c>
      <c r="F69" s="128"/>
    </row>
    <row r="70" spans="1:6" x14ac:dyDescent="0.2">
      <c r="A70" s="104" t="s">
        <v>43</v>
      </c>
      <c r="B70" s="173"/>
      <c r="C70" s="173"/>
      <c r="D70" s="173"/>
      <c r="E70" s="72">
        <f t="shared" si="1"/>
        <v>0</v>
      </c>
      <c r="F70" s="128"/>
    </row>
    <row r="71" spans="1:6" x14ac:dyDescent="0.2">
      <c r="A71" s="118" t="s">
        <v>33</v>
      </c>
      <c r="B71" s="90">
        <v>5800</v>
      </c>
      <c r="C71" s="173"/>
      <c r="D71" s="173"/>
      <c r="E71" s="72">
        <f t="shared" si="1"/>
        <v>5800</v>
      </c>
      <c r="F71" s="128"/>
    </row>
    <row r="72" spans="1:6" x14ac:dyDescent="0.2">
      <c r="A72" s="104" t="s">
        <v>34</v>
      </c>
      <c r="B72" s="260">
        <v>0</v>
      </c>
      <c r="C72" s="175"/>
      <c r="D72" s="175"/>
      <c r="E72" s="72">
        <f t="shared" si="1"/>
        <v>0</v>
      </c>
      <c r="F72" s="128"/>
    </row>
    <row r="73" spans="1:6" x14ac:dyDescent="0.2">
      <c r="A73" s="217" t="s">
        <v>40</v>
      </c>
      <c r="B73" s="213">
        <f>SUM(B31:B72)</f>
        <v>4697825.2352</v>
      </c>
      <c r="C73" s="213">
        <f>SUM(C31:C72)</f>
        <v>415477</v>
      </c>
      <c r="D73" s="213">
        <f>SUM(D31:D72)</f>
        <v>340845</v>
      </c>
      <c r="E73" s="213">
        <f>SUM(E31:E72)</f>
        <v>5454147.2352</v>
      </c>
      <c r="F73" s="130"/>
    </row>
    <row r="74" spans="1:6" x14ac:dyDescent="0.2">
      <c r="A74" s="223"/>
      <c r="B74" s="21"/>
      <c r="C74" s="21"/>
      <c r="D74" s="21"/>
      <c r="E74" s="4"/>
      <c r="F74" s="130"/>
    </row>
    <row r="75" spans="1:6" x14ac:dyDescent="0.2">
      <c r="A75" s="222" t="s">
        <v>82</v>
      </c>
      <c r="B75" s="213">
        <f>B28-B73</f>
        <v>140519.28479999956</v>
      </c>
      <c r="C75" s="213">
        <f>C28-C73</f>
        <v>-250352.5</v>
      </c>
      <c r="D75" s="213">
        <f>D28-D73</f>
        <v>0</v>
      </c>
      <c r="E75" s="213">
        <f>SUM(B75:D75)</f>
        <v>-109833.21520000044</v>
      </c>
      <c r="F75" s="130"/>
    </row>
    <row r="76" spans="1:6" x14ac:dyDescent="0.2">
      <c r="A76" s="108"/>
      <c r="B76" s="21"/>
      <c r="C76" s="21"/>
      <c r="D76" s="24"/>
      <c r="E76" s="4"/>
      <c r="F76" s="130"/>
    </row>
    <row r="77" spans="1:6" x14ac:dyDescent="0.2">
      <c r="A77" s="109" t="s">
        <v>175</v>
      </c>
      <c r="B77" s="21"/>
      <c r="C77" s="21"/>
      <c r="D77" s="21"/>
      <c r="E77" s="4"/>
      <c r="F77" s="130"/>
    </row>
    <row r="78" spans="1:6" x14ac:dyDescent="0.2">
      <c r="A78" s="232" t="s">
        <v>187</v>
      </c>
      <c r="B78" s="21">
        <v>0</v>
      </c>
      <c r="C78" s="21"/>
      <c r="D78" s="21"/>
      <c r="E78" s="4">
        <f>SUM(B78:D78)</f>
        <v>0</v>
      </c>
      <c r="F78" s="130"/>
    </row>
    <row r="79" spans="1:6" x14ac:dyDescent="0.2">
      <c r="A79" s="108" t="s">
        <v>84</v>
      </c>
      <c r="B79" s="231">
        <f>-3%*(B28)+130000</f>
        <v>-15150.335599999991</v>
      </c>
      <c r="C79" s="21"/>
      <c r="D79" s="21"/>
      <c r="E79" s="4">
        <f>SUM(B79:D79)</f>
        <v>-15150.335599999991</v>
      </c>
      <c r="F79" s="130"/>
    </row>
    <row r="80" spans="1:6" x14ac:dyDescent="0.2">
      <c r="A80" s="217" t="s">
        <v>45</v>
      </c>
      <c r="B80" s="221">
        <f>SUM(B75:B79)</f>
        <v>125368.94919999957</v>
      </c>
      <c r="C80" s="221">
        <f>SUM(C75:C79)</f>
        <v>-250352.5</v>
      </c>
      <c r="D80" s="221">
        <f>SUM(D75:D79)</f>
        <v>0</v>
      </c>
      <c r="E80" s="221">
        <f>SUM(E75:E79)</f>
        <v>-124983.55080000043</v>
      </c>
      <c r="F80" s="130"/>
    </row>
    <row r="81" spans="1:6" ht="15" x14ac:dyDescent="0.25">
      <c r="A81" s="119"/>
      <c r="B81" s="80"/>
      <c r="C81" s="80"/>
      <c r="D81" s="80"/>
      <c r="E81" s="120"/>
      <c r="F81" s="130"/>
    </row>
    <row r="82" spans="1:6" x14ac:dyDescent="0.2">
      <c r="A82" s="110" t="s">
        <v>95</v>
      </c>
      <c r="B82" s="14"/>
      <c r="C82" s="14"/>
      <c r="D82" s="14"/>
      <c r="E82" s="28">
        <v>215329</v>
      </c>
      <c r="F82" s="130"/>
    </row>
    <row r="83" spans="1:6" x14ac:dyDescent="0.2">
      <c r="A83" s="110" t="s">
        <v>96</v>
      </c>
      <c r="B83" s="14"/>
      <c r="C83" s="14"/>
      <c r="D83" s="14"/>
      <c r="E83" s="28">
        <f>E75+E78+E82</f>
        <v>105495.78479999956</v>
      </c>
      <c r="F83" s="130"/>
    </row>
    <row r="84" spans="1:6" x14ac:dyDescent="0.2">
      <c r="A84" s="111" t="s">
        <v>97</v>
      </c>
      <c r="B84" s="14"/>
      <c r="C84" s="14"/>
      <c r="D84" s="14"/>
      <c r="E84" s="24">
        <f>-E79+130000</f>
        <v>145150.33559999999</v>
      </c>
      <c r="F84" s="130"/>
    </row>
    <row r="85" spans="1:6" x14ac:dyDescent="0.2">
      <c r="A85" s="111" t="s">
        <v>98</v>
      </c>
      <c r="B85" s="14"/>
      <c r="C85" s="14"/>
      <c r="D85" s="14"/>
      <c r="E85" s="24">
        <f>E83-E84</f>
        <v>-39654.550800000434</v>
      </c>
      <c r="F85" s="130"/>
    </row>
    <row r="86" spans="1:6" x14ac:dyDescent="0.2">
      <c r="A86" s="112" t="s">
        <v>99</v>
      </c>
      <c r="B86" s="14"/>
      <c r="C86" s="14"/>
      <c r="D86" s="14"/>
      <c r="E86" s="113">
        <f>E85/E73</f>
        <v>-7.270531778841194E-3</v>
      </c>
      <c r="F86" s="130"/>
    </row>
    <row r="87" spans="1:6" x14ac:dyDescent="0.2">
      <c r="A87" s="117"/>
      <c r="B87" s="68"/>
      <c r="C87" s="68"/>
      <c r="D87" s="68"/>
      <c r="E87" s="69"/>
      <c r="F87" s="134"/>
    </row>
    <row r="88" spans="1:6" x14ac:dyDescent="0.2">
      <c r="B88" s="73"/>
    </row>
    <row r="89" spans="1:6" x14ac:dyDescent="0.2">
      <c r="B89" s="73"/>
    </row>
    <row r="90" spans="1:6" x14ac:dyDescent="0.2">
      <c r="B90" s="76"/>
    </row>
  </sheetData>
  <mergeCells count="1">
    <mergeCell ref="B3:E3"/>
  </mergeCells>
  <phoneticPr fontId="2" type="noConversion"/>
  <printOptions horizontalCentered="1"/>
  <pageMargins left="0.23" right="0.25" top="0.4" bottom="0.7" header="0.25" footer="0.5699999999999999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88"/>
  <sheetViews>
    <sheetView view="pageBreakPreview" topLeftCell="A12" zoomScale="80" zoomScaleNormal="80" zoomScaleSheetLayoutView="80" workbookViewId="0">
      <selection activeCell="F33" sqref="F33"/>
    </sheetView>
  </sheetViews>
  <sheetFormatPr defaultColWidth="11.42578125" defaultRowHeight="12.75" x14ac:dyDescent="0.2"/>
  <cols>
    <col min="1" max="1" width="39.28515625" style="1" customWidth="1"/>
    <col min="2" max="5" width="12.7109375" style="1" customWidth="1"/>
    <col min="6" max="6" width="45.7109375" style="48" customWidth="1"/>
    <col min="7" max="16384" width="11.42578125" style="1"/>
  </cols>
  <sheetData>
    <row r="1" spans="1:6" ht="18.75" x14ac:dyDescent="0.3">
      <c r="A1" s="99" t="str">
        <f>'Page 3-Assumptions'!A1</f>
        <v>Colorado Military Academy</v>
      </c>
      <c r="B1" s="100"/>
      <c r="C1" s="100"/>
      <c r="D1" s="100"/>
      <c r="E1" s="64"/>
      <c r="F1" s="136" t="s">
        <v>132</v>
      </c>
    </row>
    <row r="2" spans="1:6" ht="18.75" x14ac:dyDescent="0.3">
      <c r="A2" s="101" t="s">
        <v>459</v>
      </c>
      <c r="B2" s="14"/>
      <c r="C2" s="14"/>
      <c r="D2" s="14"/>
      <c r="E2" s="66"/>
      <c r="F2" s="114"/>
    </row>
    <row r="3" spans="1:6" s="2" customFormat="1" x14ac:dyDescent="0.2">
      <c r="A3" s="102"/>
      <c r="B3" s="391" t="str">
        <f>A2</f>
        <v>2019-2020</v>
      </c>
      <c r="C3" s="392"/>
      <c r="D3" s="392"/>
      <c r="E3" s="393"/>
      <c r="F3" s="121"/>
    </row>
    <row r="4" spans="1:6" s="2" customFormat="1" ht="25.5" x14ac:dyDescent="0.2">
      <c r="A4" s="67"/>
      <c r="B4" s="3" t="s">
        <v>44</v>
      </c>
      <c r="C4" s="3" t="s">
        <v>133</v>
      </c>
      <c r="D4" s="3" t="s">
        <v>243</v>
      </c>
      <c r="E4" s="3" t="s">
        <v>35</v>
      </c>
      <c r="F4" s="122" t="s">
        <v>77</v>
      </c>
    </row>
    <row r="5" spans="1:6" s="2" customFormat="1" x14ac:dyDescent="0.2">
      <c r="A5" s="103" t="s">
        <v>89</v>
      </c>
      <c r="B5" s="19"/>
      <c r="C5" s="19"/>
      <c r="D5" s="19"/>
      <c r="E5" s="60">
        <f>'Page 1-Enrollment Plan'!C20</f>
        <v>524</v>
      </c>
      <c r="F5" s="44"/>
    </row>
    <row r="6" spans="1:6" s="2" customFormat="1" x14ac:dyDescent="0.2">
      <c r="A6" s="103" t="s">
        <v>59</v>
      </c>
      <c r="B6" s="19"/>
      <c r="C6" s="19"/>
      <c r="D6" s="19"/>
      <c r="E6" s="59">
        <f>'Page 1-Enrollment Plan'!C22</f>
        <v>524</v>
      </c>
      <c r="F6" s="127"/>
    </row>
    <row r="7" spans="1:6" s="2" customFormat="1" x14ac:dyDescent="0.2">
      <c r="A7" s="67" t="s">
        <v>37</v>
      </c>
      <c r="B7" s="19"/>
      <c r="C7" s="19"/>
      <c r="D7" s="19"/>
      <c r="E7" s="5"/>
      <c r="F7" s="127"/>
    </row>
    <row r="8" spans="1:6" x14ac:dyDescent="0.2">
      <c r="A8" s="104" t="s">
        <v>445</v>
      </c>
      <c r="B8" s="173">
        <v>0</v>
      </c>
      <c r="C8" s="173">
        <v>0</v>
      </c>
      <c r="D8" s="173"/>
      <c r="E8" s="72">
        <f t="shared" ref="E8:E27" si="0">SUM(B8:D8)</f>
        <v>0</v>
      </c>
      <c r="F8" s="128"/>
    </row>
    <row r="9" spans="1:6" x14ac:dyDescent="0.2">
      <c r="A9" s="104" t="s">
        <v>210</v>
      </c>
      <c r="B9" s="90">
        <f>'Page 1-Enrollment Plan'!C6*'Page 3-Assumptions'!D18</f>
        <v>0</v>
      </c>
      <c r="C9" s="173"/>
      <c r="D9" s="173"/>
      <c r="E9" s="72">
        <f>SUM(B9:D9)</f>
        <v>0</v>
      </c>
      <c r="F9" s="128"/>
    </row>
    <row r="10" spans="1:6" x14ac:dyDescent="0.2">
      <c r="A10" s="104" t="s">
        <v>453</v>
      </c>
      <c r="B10" s="90">
        <v>12000</v>
      </c>
      <c r="C10" s="135"/>
      <c r="D10" s="135"/>
      <c r="E10" s="72">
        <f t="shared" si="0"/>
        <v>12000</v>
      </c>
      <c r="F10" s="128"/>
    </row>
    <row r="11" spans="1:6" x14ac:dyDescent="0.2">
      <c r="A11" s="104" t="s">
        <v>1</v>
      </c>
      <c r="B11" s="173">
        <v>1000</v>
      </c>
      <c r="C11" s="135"/>
      <c r="D11" s="135"/>
      <c r="E11" s="72">
        <f t="shared" si="0"/>
        <v>1000</v>
      </c>
      <c r="F11" s="128" t="s">
        <v>430</v>
      </c>
    </row>
    <row r="12" spans="1:6" x14ac:dyDescent="0.2">
      <c r="A12" s="104" t="s">
        <v>195</v>
      </c>
      <c r="B12" s="173"/>
      <c r="C12" s="173"/>
      <c r="D12" s="173"/>
      <c r="E12" s="72">
        <f t="shared" si="0"/>
        <v>0</v>
      </c>
      <c r="F12" s="128"/>
    </row>
    <row r="13" spans="1:6" x14ac:dyDescent="0.2">
      <c r="A13" s="104" t="s">
        <v>444</v>
      </c>
      <c r="B13" s="173">
        <v>178998</v>
      </c>
      <c r="C13" s="135"/>
      <c r="D13" s="135"/>
      <c r="E13" s="72">
        <f t="shared" si="0"/>
        <v>178998</v>
      </c>
      <c r="F13" s="128"/>
    </row>
    <row r="14" spans="1:6" x14ac:dyDescent="0.2">
      <c r="A14" s="104" t="s">
        <v>3</v>
      </c>
      <c r="B14" s="173">
        <f>500*40</f>
        <v>20000</v>
      </c>
      <c r="C14" s="135"/>
      <c r="D14" s="135"/>
      <c r="E14" s="72">
        <f t="shared" si="0"/>
        <v>20000</v>
      </c>
      <c r="F14" s="128"/>
    </row>
    <row r="15" spans="1:6" x14ac:dyDescent="0.2">
      <c r="A15" s="105" t="s">
        <v>4</v>
      </c>
      <c r="B15" s="173">
        <v>32000</v>
      </c>
      <c r="C15" s="135"/>
      <c r="D15" s="135"/>
      <c r="E15" s="72">
        <f t="shared" si="0"/>
        <v>32000</v>
      </c>
      <c r="F15" s="128" t="s">
        <v>429</v>
      </c>
    </row>
    <row r="16" spans="1:6" x14ac:dyDescent="0.2">
      <c r="A16" s="105" t="s">
        <v>5</v>
      </c>
      <c r="B16" s="90">
        <v>136333</v>
      </c>
      <c r="C16" s="135"/>
      <c r="D16" s="135"/>
      <c r="E16" s="72">
        <f t="shared" si="0"/>
        <v>136333</v>
      </c>
      <c r="F16" s="128"/>
    </row>
    <row r="17" spans="1:6" x14ac:dyDescent="0.2">
      <c r="A17" s="105" t="s">
        <v>232</v>
      </c>
      <c r="B17" s="90">
        <v>65448</v>
      </c>
      <c r="C17" s="135"/>
      <c r="D17" s="135"/>
      <c r="E17" s="72">
        <f t="shared" si="0"/>
        <v>65448</v>
      </c>
      <c r="F17" s="128"/>
    </row>
    <row r="18" spans="1:6" x14ac:dyDescent="0.2">
      <c r="A18" s="104" t="s">
        <v>249</v>
      </c>
      <c r="B18" s="90"/>
      <c r="C18" s="90"/>
      <c r="D18" s="135"/>
      <c r="E18" s="72">
        <f>SUM(B18:D18)</f>
        <v>0</v>
      </c>
      <c r="F18" s="128"/>
    </row>
    <row r="19" spans="1:6" x14ac:dyDescent="0.2">
      <c r="A19" s="104" t="s">
        <v>188</v>
      </c>
      <c r="B19" s="90">
        <f>'Page 3-Assumptions'!D13</f>
        <v>1286</v>
      </c>
      <c r="C19" s="90"/>
      <c r="D19" s="90"/>
      <c r="E19" s="72">
        <f t="shared" si="0"/>
        <v>1286</v>
      </c>
      <c r="F19" s="128"/>
    </row>
    <row r="20" spans="1:6" x14ac:dyDescent="0.2">
      <c r="A20" s="104" t="s">
        <v>196</v>
      </c>
      <c r="B20" s="258"/>
      <c r="C20" s="173"/>
      <c r="D20" s="173"/>
      <c r="E20" s="72">
        <f t="shared" si="0"/>
        <v>0</v>
      </c>
      <c r="F20" s="128"/>
    </row>
    <row r="21" spans="1:6" x14ac:dyDescent="0.2">
      <c r="A21" s="104" t="s">
        <v>179</v>
      </c>
      <c r="B21" s="90">
        <v>93626</v>
      </c>
      <c r="C21" s="90"/>
      <c r="D21" s="135"/>
      <c r="E21" s="72">
        <f t="shared" si="0"/>
        <v>93626</v>
      </c>
      <c r="F21" s="128"/>
    </row>
    <row r="22" spans="1:6" x14ac:dyDescent="0.2">
      <c r="A22" s="104" t="s">
        <v>233</v>
      </c>
      <c r="B22" s="90">
        <v>91045</v>
      </c>
      <c r="C22" s="90"/>
      <c r="D22" s="135"/>
      <c r="E22" s="72">
        <f t="shared" si="0"/>
        <v>91045</v>
      </c>
      <c r="F22" s="128"/>
    </row>
    <row r="23" spans="1:6" x14ac:dyDescent="0.2">
      <c r="A23" s="104" t="s">
        <v>180</v>
      </c>
      <c r="B23" s="90">
        <f>'Page 5-Year 1'!C23</f>
        <v>1578.5</v>
      </c>
      <c r="C23" s="90"/>
      <c r="D23" s="135"/>
      <c r="E23" s="72">
        <f t="shared" si="0"/>
        <v>1578.5</v>
      </c>
      <c r="F23" s="128"/>
    </row>
    <row r="24" spans="1:6" x14ac:dyDescent="0.2">
      <c r="A24" s="104" t="s">
        <v>461</v>
      </c>
      <c r="B24" s="173">
        <v>35000</v>
      </c>
      <c r="C24" s="173"/>
      <c r="D24" s="173"/>
      <c r="E24" s="72">
        <f t="shared" si="0"/>
        <v>35000</v>
      </c>
      <c r="F24" s="128"/>
    </row>
    <row r="25" spans="1:6" x14ac:dyDescent="0.2">
      <c r="A25" s="104" t="s">
        <v>181</v>
      </c>
      <c r="B25" s="90">
        <v>0</v>
      </c>
      <c r="C25" s="135"/>
      <c r="D25" s="173">
        <v>0</v>
      </c>
      <c r="E25" s="72">
        <f t="shared" si="0"/>
        <v>0</v>
      </c>
      <c r="F25" s="128"/>
    </row>
    <row r="26" spans="1:6" x14ac:dyDescent="0.2">
      <c r="A26" s="104" t="s">
        <v>131</v>
      </c>
      <c r="B26" s="141">
        <f>E6*'Page 3-Assumptions'!D5</f>
        <v>4323000</v>
      </c>
      <c r="C26" s="139"/>
      <c r="D26" s="139"/>
      <c r="E26" s="72">
        <f t="shared" si="0"/>
        <v>4323000</v>
      </c>
      <c r="F26" s="128"/>
    </row>
    <row r="27" spans="1:6" x14ac:dyDescent="0.2">
      <c r="A27" s="264" t="s">
        <v>462</v>
      </c>
      <c r="B27" s="141">
        <v>41094</v>
      </c>
      <c r="C27" s="141"/>
      <c r="D27" s="141"/>
      <c r="E27" s="72">
        <f t="shared" si="0"/>
        <v>41094</v>
      </c>
      <c r="F27" s="128"/>
    </row>
    <row r="28" spans="1:6" x14ac:dyDescent="0.2">
      <c r="A28" s="218" t="s">
        <v>38</v>
      </c>
      <c r="B28" s="213">
        <f>SUM(B8:B27)</f>
        <v>5032408.5</v>
      </c>
      <c r="C28" s="213">
        <f>SUM(C8:C27)</f>
        <v>0</v>
      </c>
      <c r="D28" s="213">
        <f>SUM(D8:D27)</f>
        <v>0</v>
      </c>
      <c r="E28" s="213">
        <f>SUM(E8:E27)</f>
        <v>5032408.5</v>
      </c>
      <c r="F28" s="128"/>
    </row>
    <row r="29" spans="1:6" x14ac:dyDescent="0.2">
      <c r="A29" s="123"/>
      <c r="B29" s="21"/>
      <c r="C29" s="21"/>
      <c r="D29" s="21"/>
      <c r="E29" s="4"/>
      <c r="F29" s="128"/>
    </row>
    <row r="30" spans="1:6" x14ac:dyDescent="0.2">
      <c r="A30" s="124" t="s">
        <v>39</v>
      </c>
      <c r="B30" s="89"/>
      <c r="C30" s="89"/>
      <c r="D30" s="89"/>
      <c r="E30" s="4"/>
      <c r="F30" s="128"/>
    </row>
    <row r="31" spans="1:6" x14ac:dyDescent="0.2">
      <c r="A31" s="104" t="s">
        <v>93</v>
      </c>
      <c r="B31" s="140">
        <f>2523000+33000</f>
        <v>2556000</v>
      </c>
      <c r="C31" s="173"/>
      <c r="D31" s="173"/>
      <c r="E31" s="72">
        <f t="shared" ref="E31:E72" si="1">SUM(B31:D31)</f>
        <v>2556000</v>
      </c>
      <c r="F31" s="128"/>
    </row>
    <row r="32" spans="1:6" x14ac:dyDescent="0.2">
      <c r="A32" s="104" t="s">
        <v>6</v>
      </c>
      <c r="B32" s="90">
        <v>29000</v>
      </c>
      <c r="C32" s="173"/>
      <c r="D32" s="173"/>
      <c r="E32" s="72">
        <f t="shared" si="1"/>
        <v>29000</v>
      </c>
      <c r="F32" s="128"/>
    </row>
    <row r="33" spans="1:6" x14ac:dyDescent="0.2">
      <c r="A33" s="104" t="s">
        <v>7</v>
      </c>
      <c r="B33" s="90">
        <f>(B31+B32)*1.45%</f>
        <v>37482.5</v>
      </c>
      <c r="C33" s="90"/>
      <c r="D33" s="173"/>
      <c r="E33" s="72">
        <f t="shared" si="1"/>
        <v>37482.5</v>
      </c>
      <c r="F33" s="128"/>
    </row>
    <row r="34" spans="1:6" x14ac:dyDescent="0.2">
      <c r="A34" s="104" t="s">
        <v>8</v>
      </c>
      <c r="B34" s="90"/>
      <c r="C34" s="173"/>
      <c r="D34" s="173"/>
      <c r="E34" s="72">
        <f t="shared" si="1"/>
        <v>0</v>
      </c>
      <c r="F34" s="128"/>
    </row>
    <row r="35" spans="1:6" x14ac:dyDescent="0.2">
      <c r="A35" s="104" t="s">
        <v>189</v>
      </c>
      <c r="B35" s="90">
        <f>((E31+E32)*'Page 3-Assumptions'!D25)-C35</f>
        <v>527340</v>
      </c>
      <c r="C35" s="202"/>
      <c r="D35" s="173"/>
      <c r="E35" s="72">
        <f t="shared" si="1"/>
        <v>527340</v>
      </c>
      <c r="F35" s="128"/>
    </row>
    <row r="36" spans="1:6" x14ac:dyDescent="0.2">
      <c r="A36" s="104" t="s">
        <v>9</v>
      </c>
      <c r="B36" s="90">
        <f>('Page 3-Assumptions'!B35*1.05^2)*'Page 2-Staffing Plan'!D37</f>
        <v>160315.848</v>
      </c>
      <c r="C36" s="173"/>
      <c r="D36" s="173"/>
      <c r="E36" s="72">
        <f t="shared" si="1"/>
        <v>160315.848</v>
      </c>
      <c r="F36" s="128"/>
    </row>
    <row r="37" spans="1:6" x14ac:dyDescent="0.2">
      <c r="A37" s="104" t="s">
        <v>10</v>
      </c>
      <c r="B37" s="90">
        <f>('Page 3-Assumptions'!B36*1.02^1)*'Page 2-Staffing Plan'!D37</f>
        <v>8143.0272000000014</v>
      </c>
      <c r="C37" s="173"/>
      <c r="D37" s="173"/>
      <c r="E37" s="72">
        <f t="shared" si="1"/>
        <v>8143.0272000000014</v>
      </c>
      <c r="F37" s="128"/>
    </row>
    <row r="38" spans="1:6" x14ac:dyDescent="0.2">
      <c r="A38" s="104" t="s">
        <v>11</v>
      </c>
      <c r="B38" s="90">
        <f>'Page 3-Assumptions'!$B$37*'Page 2-Staffing Plan'!D37</f>
        <v>2970</v>
      </c>
      <c r="C38" s="173"/>
      <c r="D38" s="173"/>
      <c r="E38" s="72">
        <f t="shared" si="1"/>
        <v>2970</v>
      </c>
      <c r="F38" s="128"/>
    </row>
    <row r="39" spans="1:6" x14ac:dyDescent="0.2">
      <c r="A39" s="104" t="s">
        <v>194</v>
      </c>
      <c r="B39" s="90"/>
      <c r="C39" s="258"/>
      <c r="D39" s="173"/>
      <c r="E39" s="72">
        <f t="shared" si="1"/>
        <v>0</v>
      </c>
      <c r="F39" s="128"/>
    </row>
    <row r="40" spans="1:6" x14ac:dyDescent="0.2">
      <c r="A40" s="104" t="s">
        <v>119</v>
      </c>
      <c r="B40" s="90">
        <v>2700</v>
      </c>
      <c r="C40" s="173"/>
      <c r="D40" s="173"/>
      <c r="E40" s="72">
        <f t="shared" si="1"/>
        <v>2700</v>
      </c>
      <c r="F40" s="128"/>
    </row>
    <row r="41" spans="1:6" x14ac:dyDescent="0.2">
      <c r="A41" s="104" t="s">
        <v>12</v>
      </c>
      <c r="B41" s="90">
        <f>9000*12-C41-1500*10-24000</f>
        <v>69000</v>
      </c>
      <c r="C41" s="173"/>
      <c r="D41" s="173"/>
      <c r="E41" s="72">
        <f t="shared" si="1"/>
        <v>69000</v>
      </c>
      <c r="F41" s="128" t="s">
        <v>449</v>
      </c>
    </row>
    <row r="42" spans="1:6" x14ac:dyDescent="0.2">
      <c r="A42" s="104" t="s">
        <v>190</v>
      </c>
      <c r="B42" s="90">
        <f>E5*'Page 3-Assumptions'!$B$40-3000</f>
        <v>20580</v>
      </c>
      <c r="C42" s="173"/>
      <c r="D42" s="173"/>
      <c r="E42" s="72">
        <f t="shared" si="1"/>
        <v>20580</v>
      </c>
      <c r="F42" s="128"/>
    </row>
    <row r="43" spans="1:6" x14ac:dyDescent="0.2">
      <c r="A43" s="104" t="s">
        <v>13</v>
      </c>
      <c r="B43" s="173">
        <v>10000</v>
      </c>
      <c r="C43" s="173"/>
      <c r="D43" s="173">
        <f>'Support-CDE start-up grant'!D11</f>
        <v>0</v>
      </c>
      <c r="E43" s="72">
        <f t="shared" si="1"/>
        <v>10000</v>
      </c>
      <c r="F43" s="128"/>
    </row>
    <row r="44" spans="1:6" x14ac:dyDescent="0.2">
      <c r="A44" s="104" t="s">
        <v>14</v>
      </c>
      <c r="B44" s="173">
        <v>9000</v>
      </c>
      <c r="C44" s="173"/>
      <c r="D44" s="173">
        <f>'Support-CDE start-up grant'!D10</f>
        <v>0</v>
      </c>
      <c r="E44" s="72">
        <f t="shared" si="1"/>
        <v>9000</v>
      </c>
      <c r="F44" s="128" t="s">
        <v>457</v>
      </c>
    </row>
    <row r="45" spans="1:6" x14ac:dyDescent="0.2">
      <c r="A45" s="104" t="s">
        <v>15</v>
      </c>
      <c r="B45" s="173">
        <f>3750*12+44000+18000</f>
        <v>107000</v>
      </c>
      <c r="C45" s="173"/>
      <c r="D45" s="173" t="s">
        <v>76</v>
      </c>
      <c r="E45" s="72">
        <f t="shared" si="1"/>
        <v>107000</v>
      </c>
      <c r="F45" s="128" t="s">
        <v>464</v>
      </c>
    </row>
    <row r="46" spans="1:6" x14ac:dyDescent="0.2">
      <c r="A46" s="104" t="s">
        <v>16</v>
      </c>
      <c r="B46" s="173">
        <f>'Page 5-Year 1'!B46*1.04</f>
        <v>26420.16</v>
      </c>
      <c r="C46" s="173"/>
      <c r="D46" s="173">
        <f>'Support-CDE start-up grant'!D12</f>
        <v>0</v>
      </c>
      <c r="E46" s="72">
        <f t="shared" si="1"/>
        <v>26420.16</v>
      </c>
      <c r="F46" s="128" t="s">
        <v>465</v>
      </c>
    </row>
    <row r="47" spans="1:6" x14ac:dyDescent="0.2">
      <c r="A47" s="104" t="s">
        <v>211</v>
      </c>
      <c r="B47" s="173">
        <f>'Page 5-Year 1'!B47</f>
        <v>153817</v>
      </c>
      <c r="C47" s="258"/>
      <c r="D47" s="173"/>
      <c r="E47" s="72">
        <f>SUM(B47:D47)</f>
        <v>153817</v>
      </c>
      <c r="F47" s="128"/>
    </row>
    <row r="48" spans="1:6" x14ac:dyDescent="0.2">
      <c r="A48" s="104" t="s">
        <v>17</v>
      </c>
      <c r="B48" s="173">
        <f>'Page 5-Year 1'!B48</f>
        <v>50403</v>
      </c>
      <c r="C48" s="173"/>
      <c r="D48" s="173"/>
      <c r="E48" s="72">
        <f t="shared" si="1"/>
        <v>50403</v>
      </c>
      <c r="F48" s="128"/>
    </row>
    <row r="49" spans="1:6" x14ac:dyDescent="0.2">
      <c r="A49" s="104" t="s">
        <v>18</v>
      </c>
      <c r="B49" s="173">
        <v>30000</v>
      </c>
      <c r="C49" s="173"/>
      <c r="D49" s="173"/>
      <c r="E49" s="72">
        <f t="shared" si="1"/>
        <v>30000</v>
      </c>
      <c r="F49" s="128"/>
    </row>
    <row r="50" spans="1:6" x14ac:dyDescent="0.2">
      <c r="A50" s="104" t="s">
        <v>19</v>
      </c>
      <c r="B50" s="90">
        <f>62000*12</f>
        <v>744000</v>
      </c>
      <c r="C50" s="173"/>
      <c r="D50" s="173"/>
      <c r="E50" s="72">
        <f t="shared" si="1"/>
        <v>744000</v>
      </c>
      <c r="F50" s="128" t="s">
        <v>76</v>
      </c>
    </row>
    <row r="51" spans="1:6" x14ac:dyDescent="0.2">
      <c r="A51" s="104" t="s">
        <v>20</v>
      </c>
      <c r="B51" s="90">
        <f>('Page 3-Assumptions'!$B$42+'Page 3-Assumptions'!$B$43)*'Page 1-Enrollment Plan'!C20</f>
        <v>10480</v>
      </c>
      <c r="C51" s="173"/>
      <c r="D51" s="173"/>
      <c r="E51" s="72">
        <f t="shared" si="1"/>
        <v>10480</v>
      </c>
      <c r="F51" s="128"/>
    </row>
    <row r="52" spans="1:6" x14ac:dyDescent="0.2">
      <c r="A52" s="104" t="s">
        <v>255</v>
      </c>
      <c r="B52" s="90">
        <v>42000</v>
      </c>
      <c r="C52" s="173"/>
      <c r="D52" s="173"/>
      <c r="E52" s="72">
        <f t="shared" si="1"/>
        <v>42000</v>
      </c>
      <c r="F52" s="128"/>
    </row>
    <row r="53" spans="1:6" x14ac:dyDescent="0.2">
      <c r="A53" s="104" t="s">
        <v>21</v>
      </c>
      <c r="B53" s="90">
        <f>'Page 3-Assumptions'!$D$28*(E31+E32)</f>
        <v>7755</v>
      </c>
      <c r="C53" s="173"/>
      <c r="D53" s="173"/>
      <c r="E53" s="72">
        <f t="shared" si="1"/>
        <v>7755</v>
      </c>
      <c r="F53" s="128"/>
    </row>
    <row r="54" spans="1:6" x14ac:dyDescent="0.2">
      <c r="A54" s="104" t="s">
        <v>22</v>
      </c>
      <c r="B54" s="90">
        <v>16000</v>
      </c>
      <c r="C54" s="173"/>
      <c r="D54" s="173"/>
      <c r="E54" s="72">
        <f t="shared" si="1"/>
        <v>16000</v>
      </c>
      <c r="F54" s="128"/>
    </row>
    <row r="55" spans="1:6" x14ac:dyDescent="0.2">
      <c r="A55" s="104" t="s">
        <v>23</v>
      </c>
      <c r="B55" s="173">
        <f>'Page 5-Year 1'!B55*1.5</f>
        <v>6480</v>
      </c>
      <c r="C55" s="173"/>
      <c r="D55" s="173"/>
      <c r="E55" s="72">
        <f t="shared" si="1"/>
        <v>6480</v>
      </c>
      <c r="F55" s="128"/>
    </row>
    <row r="56" spans="1:6" x14ac:dyDescent="0.2">
      <c r="A56" s="104" t="s">
        <v>24</v>
      </c>
      <c r="B56" s="90">
        <f>'Page 3-Assumptions'!$B$44*'Page 1-Enrollment Plan'!$C$20</f>
        <v>2620</v>
      </c>
      <c r="C56" s="173"/>
      <c r="D56" s="173"/>
      <c r="E56" s="72">
        <f t="shared" si="1"/>
        <v>2620</v>
      </c>
      <c r="F56" s="128"/>
    </row>
    <row r="57" spans="1:6" x14ac:dyDescent="0.2">
      <c r="A57" s="104" t="s">
        <v>42</v>
      </c>
      <c r="B57" s="90">
        <f>E5*'Page 3-Assumptions'!$B$45</f>
        <v>6550</v>
      </c>
      <c r="C57" s="173"/>
      <c r="D57" s="173">
        <f>'Support-CDE start-up grant'!D13</f>
        <v>0</v>
      </c>
      <c r="E57" s="72">
        <f t="shared" si="1"/>
        <v>6550</v>
      </c>
      <c r="F57" s="128"/>
    </row>
    <row r="58" spans="1:6" x14ac:dyDescent="0.2">
      <c r="A58" s="104" t="s">
        <v>25</v>
      </c>
      <c r="B58" s="90">
        <f>'Page 2-Staffing Plan'!D37*'Page 3-Assumptions'!$B$38</f>
        <v>2970</v>
      </c>
      <c r="C58" s="173"/>
      <c r="D58" s="174">
        <f>'Support-CDE start-up grant'!D14</f>
        <v>0</v>
      </c>
      <c r="E58" s="72">
        <f t="shared" si="1"/>
        <v>2970</v>
      </c>
      <c r="F58" s="128" t="s">
        <v>76</v>
      </c>
    </row>
    <row r="59" spans="1:6" x14ac:dyDescent="0.2">
      <c r="A59" s="104" t="s">
        <v>193</v>
      </c>
      <c r="B59" s="202">
        <f>E26*'Page 3-Assumptions'!D23</f>
        <v>129690</v>
      </c>
      <c r="C59" s="173"/>
      <c r="D59" s="173"/>
      <c r="E59" s="72">
        <f t="shared" si="1"/>
        <v>129690</v>
      </c>
      <c r="F59" s="128"/>
    </row>
    <row r="60" spans="1:6" x14ac:dyDescent="0.2">
      <c r="A60" s="104" t="s">
        <v>192</v>
      </c>
      <c r="B60" s="90">
        <f>B26*'Page 3-Assumptions'!D24</f>
        <v>43230</v>
      </c>
      <c r="C60" s="173"/>
      <c r="D60" s="173"/>
      <c r="E60" s="72">
        <f t="shared" si="1"/>
        <v>43230</v>
      </c>
      <c r="F60" s="128"/>
    </row>
    <row r="61" spans="1:6" x14ac:dyDescent="0.2">
      <c r="A61" s="104" t="s">
        <v>26</v>
      </c>
      <c r="B61" s="90">
        <f>'Page 3-Assumptions'!$B$46*'Page 1-Enrollment Plan'!$C$20*0.9</f>
        <v>28296</v>
      </c>
      <c r="C61" s="173"/>
      <c r="D61" s="173">
        <v>0</v>
      </c>
      <c r="E61" s="72">
        <f t="shared" si="1"/>
        <v>28296</v>
      </c>
      <c r="F61" s="128"/>
    </row>
    <row r="62" spans="1:6" x14ac:dyDescent="0.2">
      <c r="A62" s="104" t="s">
        <v>27</v>
      </c>
      <c r="B62" s="90">
        <f>E5*'Page 3-Assumptions'!$B$47</f>
        <v>7860</v>
      </c>
      <c r="C62" s="173"/>
      <c r="D62" s="173"/>
      <c r="E62" s="72">
        <f t="shared" si="1"/>
        <v>7860</v>
      </c>
      <c r="F62" s="128"/>
    </row>
    <row r="63" spans="1:6" x14ac:dyDescent="0.2">
      <c r="A63" s="104" t="s">
        <v>41</v>
      </c>
      <c r="B63" s="90">
        <v>3000</v>
      </c>
      <c r="C63" s="173"/>
      <c r="D63" s="173"/>
      <c r="E63" s="72">
        <f t="shared" si="1"/>
        <v>3000</v>
      </c>
      <c r="F63" s="128"/>
    </row>
    <row r="64" spans="1:6" x14ac:dyDescent="0.2">
      <c r="A64" s="104" t="s">
        <v>28</v>
      </c>
      <c r="B64" s="258">
        <v>50000</v>
      </c>
      <c r="C64" s="173"/>
      <c r="D64" s="173">
        <f>'Support-CDE start-up grant'!D15</f>
        <v>0</v>
      </c>
      <c r="E64" s="72">
        <f t="shared" si="1"/>
        <v>50000</v>
      </c>
      <c r="F64" s="128" t="s">
        <v>428</v>
      </c>
    </row>
    <row r="65" spans="1:6" x14ac:dyDescent="0.2">
      <c r="A65" s="104" t="s">
        <v>29</v>
      </c>
      <c r="B65" s="173">
        <v>1000</v>
      </c>
      <c r="C65" s="173"/>
      <c r="D65" s="173"/>
      <c r="E65" s="72">
        <f t="shared" si="1"/>
        <v>1000</v>
      </c>
      <c r="F65" s="128"/>
    </row>
    <row r="66" spans="1:6" x14ac:dyDescent="0.2">
      <c r="A66" s="104" t="s">
        <v>191</v>
      </c>
      <c r="B66" s="173">
        <v>0</v>
      </c>
      <c r="C66" s="173"/>
      <c r="D66" s="173"/>
      <c r="E66" s="72">
        <f t="shared" si="1"/>
        <v>0</v>
      </c>
      <c r="F66" s="128"/>
    </row>
    <row r="67" spans="1:6" x14ac:dyDescent="0.2">
      <c r="A67" s="104" t="s">
        <v>30</v>
      </c>
      <c r="B67" s="173">
        <v>10000</v>
      </c>
      <c r="C67" s="173"/>
      <c r="D67" s="173">
        <v>0</v>
      </c>
      <c r="E67" s="72">
        <f t="shared" si="1"/>
        <v>10000</v>
      </c>
      <c r="F67" s="128"/>
    </row>
    <row r="68" spans="1:6" x14ac:dyDescent="0.2">
      <c r="A68" s="104" t="s">
        <v>31</v>
      </c>
      <c r="B68" s="173">
        <v>0</v>
      </c>
      <c r="C68" s="173"/>
      <c r="D68" s="173">
        <v>0</v>
      </c>
      <c r="E68" s="72">
        <f t="shared" si="1"/>
        <v>0</v>
      </c>
      <c r="F68" s="128"/>
    </row>
    <row r="69" spans="1:6" x14ac:dyDescent="0.2">
      <c r="A69" s="104" t="s">
        <v>32</v>
      </c>
      <c r="B69" s="90">
        <v>5000</v>
      </c>
      <c r="C69" s="173"/>
      <c r="D69" s="173"/>
      <c r="E69" s="72">
        <f t="shared" si="1"/>
        <v>5000</v>
      </c>
      <c r="F69" s="128"/>
    </row>
    <row r="70" spans="1:6" x14ac:dyDescent="0.2">
      <c r="A70" s="104" t="s">
        <v>43</v>
      </c>
      <c r="B70" s="173">
        <v>30000</v>
      </c>
      <c r="C70" s="173"/>
      <c r="D70" s="173"/>
      <c r="E70" s="72">
        <f t="shared" si="1"/>
        <v>30000</v>
      </c>
      <c r="F70" s="128"/>
    </row>
    <row r="71" spans="1:6" x14ac:dyDescent="0.2">
      <c r="A71" s="104" t="s">
        <v>33</v>
      </c>
      <c r="B71" s="173">
        <f>'Page 5-Year 1'!B71*('Page 1-Enrollment Plan'!C$20/'Page 1-Enrollment Plan'!B$20)*0.5</f>
        <v>2647.3867595818815</v>
      </c>
      <c r="C71" s="173"/>
      <c r="D71" s="173"/>
      <c r="E71" s="72">
        <f t="shared" si="1"/>
        <v>2647.3867595818815</v>
      </c>
      <c r="F71" s="128"/>
    </row>
    <row r="72" spans="1:6" x14ac:dyDescent="0.2">
      <c r="A72" s="104" t="s">
        <v>34</v>
      </c>
      <c r="B72" s="173">
        <f>'Page 5-Year 1'!B72*('Page 1-Enrollment Plan'!C$20/'Page 1-Enrollment Plan'!B$20)*1.25*0.5</f>
        <v>0</v>
      </c>
      <c r="C72" s="175"/>
      <c r="D72" s="175"/>
      <c r="E72" s="72">
        <f t="shared" si="1"/>
        <v>0</v>
      </c>
      <c r="F72" s="128"/>
    </row>
    <row r="73" spans="1:6" x14ac:dyDescent="0.2">
      <c r="A73" s="217" t="s">
        <v>40</v>
      </c>
      <c r="B73" s="213">
        <f>SUM(B31:B72)</f>
        <v>4949749.9219595818</v>
      </c>
      <c r="C73" s="213">
        <f>SUM(C31:C72)</f>
        <v>0</v>
      </c>
      <c r="D73" s="213">
        <f>SUM(D31:D72)</f>
        <v>0</v>
      </c>
      <c r="E73" s="213">
        <f>SUM(E31:E72)</f>
        <v>4949749.9219595818</v>
      </c>
      <c r="F73" s="128"/>
    </row>
    <row r="74" spans="1:6" x14ac:dyDescent="0.2">
      <c r="A74" s="109"/>
      <c r="B74" s="21"/>
      <c r="C74" s="21"/>
      <c r="D74" s="21"/>
      <c r="E74" s="4"/>
      <c r="F74" s="128"/>
    </row>
    <row r="75" spans="1:6" x14ac:dyDescent="0.2">
      <c r="A75" s="222" t="s">
        <v>82</v>
      </c>
      <c r="B75" s="213">
        <f>B28-B73</f>
        <v>82658.578040418215</v>
      </c>
      <c r="C75" s="213">
        <f>C28-C73</f>
        <v>0</v>
      </c>
      <c r="D75" s="213">
        <f>D28-D73</f>
        <v>0</v>
      </c>
      <c r="E75" s="213">
        <f>E28-E73</f>
        <v>82658.578040418215</v>
      </c>
      <c r="F75" s="128"/>
    </row>
    <row r="76" spans="1:6" x14ac:dyDescent="0.2">
      <c r="A76" s="108"/>
      <c r="B76" s="21"/>
      <c r="C76" s="21"/>
      <c r="D76" s="21"/>
      <c r="E76" s="4"/>
      <c r="F76" s="128"/>
    </row>
    <row r="77" spans="1:6" x14ac:dyDescent="0.2">
      <c r="A77" s="109" t="s">
        <v>175</v>
      </c>
      <c r="B77" s="21"/>
      <c r="C77" s="21"/>
      <c r="D77" s="24"/>
      <c r="E77" s="4"/>
      <c r="F77" s="128"/>
    </row>
    <row r="78" spans="1:6" x14ac:dyDescent="0.2">
      <c r="A78" s="232" t="s">
        <v>187</v>
      </c>
      <c r="B78" s="21">
        <v>0</v>
      </c>
      <c r="C78" s="21"/>
      <c r="D78" s="24"/>
      <c r="E78" s="4">
        <f>B78+C78+D78</f>
        <v>0</v>
      </c>
      <c r="F78" s="128"/>
    </row>
    <row r="79" spans="1:6" x14ac:dyDescent="0.2">
      <c r="A79" s="110" t="s">
        <v>136</v>
      </c>
      <c r="B79" s="231">
        <f>-(3%*(B28-SUM(B21:B24)))+'Page 5-Year 1'!E84</f>
        <v>815.56560000000172</v>
      </c>
      <c r="C79" s="21"/>
      <c r="D79" s="21"/>
      <c r="E79" s="4">
        <f>SUM(B79:D79)</f>
        <v>815.56560000000172</v>
      </c>
      <c r="F79" s="128"/>
    </row>
    <row r="80" spans="1:6" x14ac:dyDescent="0.2">
      <c r="A80" s="218" t="s">
        <v>45</v>
      </c>
      <c r="B80" s="221">
        <f>SUM(B75:B79)</f>
        <v>83474.143640418217</v>
      </c>
      <c r="C80" s="221">
        <f t="shared" ref="C80:E80" si="2">SUM(C75:C79)</f>
        <v>0</v>
      </c>
      <c r="D80" s="221">
        <f t="shared" si="2"/>
        <v>0</v>
      </c>
      <c r="E80" s="221">
        <f t="shared" si="2"/>
        <v>83474.143640418217</v>
      </c>
      <c r="F80" s="128"/>
    </row>
    <row r="81" spans="1:6" ht="15" x14ac:dyDescent="0.25">
      <c r="A81" s="119"/>
      <c r="B81" s="80"/>
      <c r="C81" s="80"/>
      <c r="D81" s="80"/>
      <c r="E81" s="120"/>
      <c r="F81" s="130"/>
    </row>
    <row r="82" spans="1:6" x14ac:dyDescent="0.2">
      <c r="A82" s="110" t="s">
        <v>95</v>
      </c>
      <c r="B82" s="14"/>
      <c r="C82" s="14"/>
      <c r="D82" s="14"/>
      <c r="E82" s="28">
        <v>145000</v>
      </c>
      <c r="F82" s="130"/>
    </row>
    <row r="83" spans="1:6" x14ac:dyDescent="0.2">
      <c r="A83" s="110" t="s">
        <v>96</v>
      </c>
      <c r="B83" s="14"/>
      <c r="C83" s="14"/>
      <c r="D83" s="14"/>
      <c r="E83" s="28">
        <f>E75+E78+E82</f>
        <v>227658.57804041822</v>
      </c>
      <c r="F83" s="130"/>
    </row>
    <row r="84" spans="1:6" x14ac:dyDescent="0.2">
      <c r="A84" s="111" t="s">
        <v>97</v>
      </c>
      <c r="B84" s="14"/>
      <c r="C84" s="14"/>
      <c r="D84" s="14"/>
      <c r="E84" s="24">
        <f>'Page 5-Year 1'!E84-'Page 6-Year 2'!E79</f>
        <v>144334.76999999999</v>
      </c>
      <c r="F84" s="130"/>
    </row>
    <row r="85" spans="1:6" x14ac:dyDescent="0.2">
      <c r="A85" s="111" t="s">
        <v>460</v>
      </c>
      <c r="B85" s="14"/>
      <c r="C85" s="14"/>
      <c r="D85" s="14"/>
      <c r="E85" s="24">
        <f>E6*100</f>
        <v>52400</v>
      </c>
      <c r="F85" s="130"/>
    </row>
    <row r="86" spans="1:6" x14ac:dyDescent="0.2">
      <c r="A86" s="111" t="s">
        <v>463</v>
      </c>
      <c r="B86" s="14"/>
      <c r="C86" s="14"/>
      <c r="D86" s="14"/>
      <c r="E86" s="24">
        <f>E83-E84-E85</f>
        <v>30923.808040418226</v>
      </c>
      <c r="F86" s="130"/>
    </row>
    <row r="87" spans="1:6" x14ac:dyDescent="0.2">
      <c r="A87" s="112" t="s">
        <v>99</v>
      </c>
      <c r="B87" s="14"/>
      <c r="C87" s="14"/>
      <c r="D87" s="14"/>
      <c r="E87" s="113">
        <f>E86/E73</f>
        <v>6.2475495788634995E-3</v>
      </c>
      <c r="F87" s="130"/>
    </row>
    <row r="88" spans="1:6" x14ac:dyDescent="0.2">
      <c r="A88" s="117"/>
      <c r="B88" s="68"/>
      <c r="C88" s="68"/>
      <c r="D88" s="68"/>
      <c r="E88" s="69"/>
      <c r="F88" s="134"/>
    </row>
  </sheetData>
  <mergeCells count="1">
    <mergeCell ref="B3:E3"/>
  </mergeCells>
  <phoneticPr fontId="2" type="noConversion"/>
  <printOptions horizontalCentered="1"/>
  <pageMargins left="0.25" right="0.25" top="0.4" bottom="0.69" header="0.2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87"/>
  <sheetViews>
    <sheetView view="pageBreakPreview" topLeftCell="A48" zoomScale="90" zoomScaleNormal="80" zoomScaleSheetLayoutView="90" workbookViewId="0">
      <selection activeCell="F57" sqref="F57"/>
    </sheetView>
  </sheetViews>
  <sheetFormatPr defaultColWidth="11.42578125" defaultRowHeight="12.75" x14ac:dyDescent="0.2"/>
  <cols>
    <col min="1" max="1" width="40.7109375" style="1" bestFit="1" customWidth="1"/>
    <col min="2" max="5" width="12.7109375" style="1" customWidth="1"/>
    <col min="6" max="6" width="45.85546875" style="48" customWidth="1"/>
    <col min="7" max="16384" width="11.42578125" style="1"/>
  </cols>
  <sheetData>
    <row r="1" spans="1:6" ht="18.75" x14ac:dyDescent="0.3">
      <c r="A1" s="99" t="str">
        <f>'Page 3-Assumptions'!A1</f>
        <v>Colorado Military Academy</v>
      </c>
      <c r="B1" s="100"/>
      <c r="C1" s="100"/>
      <c r="D1" s="100"/>
      <c r="E1" s="64"/>
      <c r="F1" s="136" t="s">
        <v>132</v>
      </c>
    </row>
    <row r="2" spans="1:6" ht="18.75" x14ac:dyDescent="0.3">
      <c r="A2" s="101" t="str">
        <f>B3</f>
        <v>YEAR 3</v>
      </c>
      <c r="B2" s="14"/>
      <c r="C2" s="14"/>
      <c r="D2" s="14"/>
      <c r="E2" s="66"/>
      <c r="F2" s="114"/>
    </row>
    <row r="3" spans="1:6" s="2" customFormat="1" x14ac:dyDescent="0.2">
      <c r="A3" s="102"/>
      <c r="B3" s="391" t="str">
        <f>'Page 10-6 yr Budget-detail'!E4</f>
        <v>YEAR 3</v>
      </c>
      <c r="C3" s="392"/>
      <c r="D3" s="392"/>
      <c r="E3" s="393"/>
      <c r="F3" s="121"/>
    </row>
    <row r="4" spans="1:6" s="2" customFormat="1" ht="25.5" x14ac:dyDescent="0.2">
      <c r="A4" s="67"/>
      <c r="B4" s="3" t="s">
        <v>44</v>
      </c>
      <c r="C4" s="3" t="s">
        <v>133</v>
      </c>
      <c r="D4" s="3" t="s">
        <v>243</v>
      </c>
      <c r="E4" s="209" t="s">
        <v>35</v>
      </c>
      <c r="F4" s="122" t="s">
        <v>77</v>
      </c>
    </row>
    <row r="5" spans="1:6" s="2" customFormat="1" x14ac:dyDescent="0.2">
      <c r="A5" s="103" t="s">
        <v>89</v>
      </c>
      <c r="B5" s="19"/>
      <c r="C5" s="19"/>
      <c r="D5" s="19"/>
      <c r="E5" s="210">
        <f>'Page 1-Enrollment Plan'!D20</f>
        <v>605</v>
      </c>
      <c r="F5" s="132"/>
    </row>
    <row r="6" spans="1:6" s="2" customFormat="1" x14ac:dyDescent="0.2">
      <c r="A6" s="103" t="s">
        <v>59</v>
      </c>
      <c r="B6" s="19"/>
      <c r="C6" s="19"/>
      <c r="D6" s="19"/>
      <c r="E6" s="211">
        <f>'Page 1-Enrollment Plan'!D22</f>
        <v>605</v>
      </c>
      <c r="F6" s="127"/>
    </row>
    <row r="7" spans="1:6" s="2" customFormat="1" x14ac:dyDescent="0.2">
      <c r="A7" s="67" t="s">
        <v>37</v>
      </c>
      <c r="B7" s="19"/>
      <c r="C7" s="19"/>
      <c r="D7" s="19"/>
      <c r="E7" s="212"/>
      <c r="F7" s="127"/>
    </row>
    <row r="8" spans="1:6" x14ac:dyDescent="0.2">
      <c r="A8" s="104" t="s">
        <v>0</v>
      </c>
      <c r="B8" s="258"/>
      <c r="C8" s="258"/>
      <c r="D8" s="258"/>
      <c r="E8" s="213">
        <f t="shared" ref="E8:E27" si="0">SUM(B8:D8)</f>
        <v>0</v>
      </c>
      <c r="F8" s="128"/>
    </row>
    <row r="9" spans="1:6" x14ac:dyDescent="0.2">
      <c r="A9" s="104" t="s">
        <v>210</v>
      </c>
      <c r="B9" s="90">
        <f>'Page 1-Enrollment Plan'!D6*'Page 3-Assumptions'!E18</f>
        <v>0</v>
      </c>
      <c r="C9" s="173"/>
      <c r="D9" s="173"/>
      <c r="E9" s="72">
        <f>SUM(B9:D9)</f>
        <v>0</v>
      </c>
      <c r="F9" s="128"/>
    </row>
    <row r="10" spans="1:6" x14ac:dyDescent="0.2">
      <c r="A10" s="104" t="s">
        <v>453</v>
      </c>
      <c r="B10" s="90">
        <v>14000</v>
      </c>
      <c r="C10" s="173"/>
      <c r="D10" s="173"/>
      <c r="E10" s="213">
        <f t="shared" si="0"/>
        <v>14000</v>
      </c>
      <c r="F10" s="128"/>
    </row>
    <row r="11" spans="1:6" x14ac:dyDescent="0.2">
      <c r="A11" s="104" t="s">
        <v>1</v>
      </c>
      <c r="B11" s="258">
        <v>1000</v>
      </c>
      <c r="C11" s="173"/>
      <c r="D11" s="173"/>
      <c r="E11" s="213">
        <f t="shared" si="0"/>
        <v>1000</v>
      </c>
      <c r="F11" s="128"/>
    </row>
    <row r="12" spans="1:6" x14ac:dyDescent="0.2">
      <c r="A12" s="104" t="s">
        <v>195</v>
      </c>
      <c r="B12" s="173"/>
      <c r="C12" s="173"/>
      <c r="D12" s="173"/>
      <c r="E12" s="213">
        <f t="shared" si="0"/>
        <v>0</v>
      </c>
      <c r="F12" s="128"/>
    </row>
    <row r="13" spans="1:6" x14ac:dyDescent="0.2">
      <c r="A13" s="104" t="s">
        <v>444</v>
      </c>
      <c r="B13" s="373">
        <f>'Page 6-Year 2'!B13/'Page 6-Year 2'!E5*'Page 7-Year 3'!E5</f>
        <v>206667.53816793891</v>
      </c>
      <c r="C13" s="173"/>
      <c r="D13" s="173"/>
      <c r="E13" s="213">
        <f t="shared" si="0"/>
        <v>206667.53816793891</v>
      </c>
      <c r="F13" s="128"/>
    </row>
    <row r="14" spans="1:6" x14ac:dyDescent="0.2">
      <c r="A14" s="104" t="s">
        <v>3</v>
      </c>
      <c r="B14" s="173">
        <f>'Page 6-Year 2'!B14/'Page 1-Enrollment Plan'!C$20*'Page 1-Enrollment Plan'!D$20</f>
        <v>23091.603053435116</v>
      </c>
      <c r="C14" s="173"/>
      <c r="D14" s="173"/>
      <c r="E14" s="213">
        <f t="shared" si="0"/>
        <v>23091.603053435116</v>
      </c>
      <c r="F14" s="128"/>
    </row>
    <row r="15" spans="1:6" x14ac:dyDescent="0.2">
      <c r="A15" s="105" t="s">
        <v>4</v>
      </c>
      <c r="B15" s="173">
        <f>ROUND('Page 6-Year 2'!B15/'Page 1-Enrollment Plan'!C$20*'Page 1-Enrollment Plan'!D$20,-3)</f>
        <v>37000</v>
      </c>
      <c r="C15" s="173"/>
      <c r="D15" s="173"/>
      <c r="E15" s="213">
        <f t="shared" si="0"/>
        <v>37000</v>
      </c>
      <c r="F15" s="128"/>
    </row>
    <row r="16" spans="1:6" x14ac:dyDescent="0.2">
      <c r="A16" s="263" t="s">
        <v>5</v>
      </c>
      <c r="B16" s="90">
        <f>E5*'Page 3-Assumptions'!E7</f>
        <v>151250</v>
      </c>
      <c r="C16" s="173"/>
      <c r="D16" s="173"/>
      <c r="E16" s="213">
        <f t="shared" si="0"/>
        <v>151250</v>
      </c>
      <c r="F16" s="128"/>
    </row>
    <row r="17" spans="1:6" x14ac:dyDescent="0.2">
      <c r="A17" s="263" t="s">
        <v>232</v>
      </c>
      <c r="B17" s="90">
        <f>'Page 3-Assumptions'!E8</f>
        <v>66550</v>
      </c>
      <c r="C17" s="173"/>
      <c r="D17" s="173"/>
      <c r="E17" s="213">
        <f t="shared" si="0"/>
        <v>66550</v>
      </c>
      <c r="F17" s="128"/>
    </row>
    <row r="18" spans="1:6" x14ac:dyDescent="0.2">
      <c r="A18" s="104" t="s">
        <v>249</v>
      </c>
      <c r="B18" s="90"/>
      <c r="C18" s="90">
        <f>'Page 3-Assumptions'!$E$9</f>
        <v>2571.25</v>
      </c>
      <c r="D18" s="173"/>
      <c r="E18" s="213">
        <f t="shared" si="0"/>
        <v>2571.25</v>
      </c>
      <c r="F18" s="128"/>
    </row>
    <row r="19" spans="1:6" x14ac:dyDescent="0.2">
      <c r="A19" s="118" t="s">
        <v>188</v>
      </c>
      <c r="B19" s="90">
        <f>'Page 3-Assumptions'!E13</f>
        <v>1407.5</v>
      </c>
      <c r="C19" s="90"/>
      <c r="D19" s="90"/>
      <c r="E19" s="213">
        <f t="shared" si="0"/>
        <v>1407.5</v>
      </c>
      <c r="F19" s="128"/>
    </row>
    <row r="20" spans="1:6" x14ac:dyDescent="0.2">
      <c r="A20" s="118" t="s">
        <v>196</v>
      </c>
      <c r="B20" s="258"/>
      <c r="C20" s="173"/>
      <c r="D20" s="173"/>
      <c r="E20" s="213">
        <f t="shared" si="0"/>
        <v>0</v>
      </c>
      <c r="F20" s="128"/>
    </row>
    <row r="21" spans="1:6" x14ac:dyDescent="0.2">
      <c r="A21" s="118" t="s">
        <v>179</v>
      </c>
      <c r="B21" s="90"/>
      <c r="C21" s="90">
        <f>'Page 3-Assumptions'!$E$14</f>
        <v>58080</v>
      </c>
      <c r="D21" s="173"/>
      <c r="E21" s="213">
        <f t="shared" si="0"/>
        <v>58080</v>
      </c>
      <c r="F21" s="128"/>
    </row>
    <row r="22" spans="1:6" x14ac:dyDescent="0.2">
      <c r="A22" s="118" t="s">
        <v>233</v>
      </c>
      <c r="B22" s="90"/>
      <c r="C22" s="90">
        <f>'Page 3-Assumptions'!$E$15</f>
        <v>90750</v>
      </c>
      <c r="D22" s="173"/>
      <c r="E22" s="213">
        <f t="shared" si="0"/>
        <v>90750</v>
      </c>
      <c r="F22" s="128"/>
    </row>
    <row r="23" spans="1:6" x14ac:dyDescent="0.2">
      <c r="A23" s="118" t="s">
        <v>180</v>
      </c>
      <c r="B23" s="90"/>
      <c r="C23" s="90">
        <f>'Page 3-Assumptions'!$E$16</f>
        <v>1663.75</v>
      </c>
      <c r="D23" s="173"/>
      <c r="E23" s="213">
        <f t="shared" si="0"/>
        <v>1663.75</v>
      </c>
      <c r="F23" s="128"/>
    </row>
    <row r="24" spans="1:6" x14ac:dyDescent="0.2">
      <c r="A24" s="118" t="s">
        <v>197</v>
      </c>
      <c r="B24" s="173"/>
      <c r="C24" s="173"/>
      <c r="D24" s="173"/>
      <c r="E24" s="213">
        <f t="shared" si="0"/>
        <v>0</v>
      </c>
      <c r="F24" s="128"/>
    </row>
    <row r="25" spans="1:6" x14ac:dyDescent="0.2">
      <c r="A25" s="118" t="s">
        <v>181</v>
      </c>
      <c r="B25" s="90"/>
      <c r="C25" s="173"/>
      <c r="D25" s="173"/>
      <c r="E25" s="213">
        <f t="shared" si="0"/>
        <v>0</v>
      </c>
      <c r="F25" s="128"/>
    </row>
    <row r="26" spans="1:6" x14ac:dyDescent="0.2">
      <c r="A26" s="118" t="s">
        <v>131</v>
      </c>
      <c r="B26" s="90">
        <f>E6*'Page 3-Assumptions'!E5</f>
        <v>5091075</v>
      </c>
      <c r="C26" s="173"/>
      <c r="D26" s="173"/>
      <c r="E26" s="213">
        <f t="shared" si="0"/>
        <v>5091075</v>
      </c>
      <c r="F26" s="128"/>
    </row>
    <row r="27" spans="1:6" x14ac:dyDescent="0.2">
      <c r="A27" s="263" t="s">
        <v>182</v>
      </c>
      <c r="B27" s="141">
        <f>'Page 3-Assumptions'!E6</f>
        <v>0</v>
      </c>
      <c r="C27" s="141"/>
      <c r="D27" s="141"/>
      <c r="E27" s="213">
        <f t="shared" si="0"/>
        <v>0</v>
      </c>
      <c r="F27" s="128"/>
    </row>
    <row r="28" spans="1:6" x14ac:dyDescent="0.2">
      <c r="A28" s="217" t="s">
        <v>38</v>
      </c>
      <c r="B28" s="213">
        <f>SUM(B8:B27)</f>
        <v>5592041.6412213743</v>
      </c>
      <c r="C28" s="213">
        <f>SUM(C8:C27)</f>
        <v>153065</v>
      </c>
      <c r="D28" s="213">
        <f>SUM(D8:D27)</f>
        <v>0</v>
      </c>
      <c r="E28" s="213">
        <f>SUM(E8:E27)</f>
        <v>5745106.6412213743</v>
      </c>
      <c r="F28" s="128"/>
    </row>
    <row r="29" spans="1:6" x14ac:dyDescent="0.2">
      <c r="A29" s="106"/>
      <c r="B29" s="21"/>
      <c r="C29" s="21"/>
      <c r="D29" s="21"/>
      <c r="E29" s="214"/>
      <c r="F29" s="128"/>
    </row>
    <row r="30" spans="1:6" x14ac:dyDescent="0.2">
      <c r="A30" s="107" t="s">
        <v>39</v>
      </c>
      <c r="B30" s="89"/>
      <c r="C30" s="89"/>
      <c r="D30" s="89"/>
      <c r="E30" s="4"/>
      <c r="F30" s="128"/>
    </row>
    <row r="31" spans="1:6" x14ac:dyDescent="0.2">
      <c r="A31" s="104" t="s">
        <v>93</v>
      </c>
      <c r="B31" s="140">
        <f>'Page 2-Staffing Plan'!E32-C31</f>
        <v>2317322</v>
      </c>
      <c r="C31" s="173">
        <f>('Page 2-Staffing Plan'!E19*'Page 2-Staffing Plan'!$I19+'Page 2-Staffing Plan'!E10*'Page 2-Staffing Plan'!$I10+'Page 2-Staffing Plan'!$I25)*('Page 2-Staffing Plan'!$I32+1)^2</f>
        <v>514998</v>
      </c>
      <c r="D31" s="173"/>
      <c r="E31" s="72">
        <f t="shared" ref="E31:E72" si="1">SUM(B31:D31)</f>
        <v>2832320</v>
      </c>
      <c r="F31" s="128"/>
    </row>
    <row r="32" spans="1:6" x14ac:dyDescent="0.2">
      <c r="A32" s="104" t="s">
        <v>6</v>
      </c>
      <c r="B32" s="90">
        <f>('Page 3-Assumptions'!B33*'Page 3-Assumptions'!B34)*('Page 2-Staffing Plan'!E15)</f>
        <v>26240</v>
      </c>
      <c r="C32" s="173"/>
      <c r="D32" s="173"/>
      <c r="E32" s="72">
        <f t="shared" si="1"/>
        <v>26240</v>
      </c>
      <c r="F32" s="128"/>
    </row>
    <row r="33" spans="1:6" x14ac:dyDescent="0.2">
      <c r="A33" s="104" t="s">
        <v>7</v>
      </c>
      <c r="B33" s="90">
        <f>(B31+B32)*1.45%</f>
        <v>33981.648999999998</v>
      </c>
      <c r="C33" s="90">
        <f>ROUND((C31+C32)*1.45%,0)</f>
        <v>7467</v>
      </c>
      <c r="D33" s="173"/>
      <c r="E33" s="72">
        <f t="shared" si="1"/>
        <v>41448.648999999998</v>
      </c>
      <c r="F33" s="128"/>
    </row>
    <row r="34" spans="1:6" x14ac:dyDescent="0.2">
      <c r="A34" s="104" t="s">
        <v>8</v>
      </c>
      <c r="B34" s="90"/>
      <c r="C34" s="173"/>
      <c r="D34" s="173"/>
      <c r="E34" s="72">
        <f t="shared" si="1"/>
        <v>0</v>
      </c>
      <c r="F34" s="128"/>
    </row>
    <row r="35" spans="1:6" x14ac:dyDescent="0.2">
      <c r="A35" s="104" t="s">
        <v>189</v>
      </c>
      <c r="B35" s="90">
        <f>((E31+E32)*'Page 3-Assumptions'!E25)-C35</f>
        <v>479374.14299999998</v>
      </c>
      <c r="C35" s="202">
        <f>C31*'Page 3-Assumptions'!C25</f>
        <v>103772.09700000001</v>
      </c>
      <c r="D35" s="173"/>
      <c r="E35" s="72">
        <f t="shared" si="1"/>
        <v>583146.23999999999</v>
      </c>
      <c r="F35" s="128"/>
    </row>
    <row r="36" spans="1:6" x14ac:dyDescent="0.2">
      <c r="A36" s="104" t="s">
        <v>9</v>
      </c>
      <c r="B36" s="90">
        <f>('Page 3-Assumptions'!B35*1.05^3)*'Page 2-Staffing Plan'!E37</f>
        <v>198370.62000000002</v>
      </c>
      <c r="C36" s="173"/>
      <c r="D36" s="173"/>
      <c r="E36" s="72">
        <f t="shared" si="1"/>
        <v>198370.62000000002</v>
      </c>
      <c r="F36" s="128"/>
    </row>
    <row r="37" spans="1:6" x14ac:dyDescent="0.2">
      <c r="A37" s="104" t="s">
        <v>10</v>
      </c>
      <c r="B37" s="90">
        <f>('Page 3-Assumptions'!B36*1.02^2)*'Page 2-Staffing Plan'!E37</f>
        <v>9788.0831999999991</v>
      </c>
      <c r="C37" s="173"/>
      <c r="D37" s="173"/>
      <c r="E37" s="72">
        <f t="shared" si="1"/>
        <v>9788.0831999999991</v>
      </c>
      <c r="F37" s="128"/>
    </row>
    <row r="38" spans="1:6" x14ac:dyDescent="0.2">
      <c r="A38" s="104" t="s">
        <v>11</v>
      </c>
      <c r="B38" s="90">
        <f>'Page 3-Assumptions'!$B$37*'Page 2-Staffing Plan'!E37</f>
        <v>3500</v>
      </c>
      <c r="C38" s="173"/>
      <c r="D38" s="173"/>
      <c r="E38" s="72">
        <f t="shared" si="1"/>
        <v>3500</v>
      </c>
      <c r="F38" s="128"/>
    </row>
    <row r="39" spans="1:6" x14ac:dyDescent="0.2">
      <c r="A39" s="104" t="s">
        <v>194</v>
      </c>
      <c r="B39" s="90"/>
      <c r="C39" s="258"/>
      <c r="D39" s="173"/>
      <c r="E39" s="72">
        <f t="shared" si="1"/>
        <v>0</v>
      </c>
      <c r="F39" s="128"/>
    </row>
    <row r="40" spans="1:6" x14ac:dyDescent="0.2">
      <c r="A40" s="104" t="s">
        <v>119</v>
      </c>
      <c r="B40" s="90">
        <f>('Page 3-Assumptions'!$B$39*'Page 2-Staffing Plan'!E37)</f>
        <v>840</v>
      </c>
      <c r="C40" s="173"/>
      <c r="D40" s="173"/>
      <c r="E40" s="72">
        <f t="shared" si="1"/>
        <v>840</v>
      </c>
      <c r="F40" s="128"/>
    </row>
    <row r="41" spans="1:6" x14ac:dyDescent="0.2">
      <c r="A41" s="104" t="s">
        <v>12</v>
      </c>
      <c r="B41" s="90">
        <f>'Page 3-Assumptions'!E61-C41+12*12000-C41</f>
        <v>125042</v>
      </c>
      <c r="C41" s="173">
        <f>'Page 3-Assumptions'!E56</f>
        <v>28458</v>
      </c>
      <c r="D41" s="175"/>
      <c r="E41" s="72">
        <f t="shared" si="1"/>
        <v>153500</v>
      </c>
      <c r="F41" s="128"/>
    </row>
    <row r="42" spans="1:6" x14ac:dyDescent="0.2">
      <c r="A42" s="104" t="s">
        <v>190</v>
      </c>
      <c r="B42" s="90">
        <f>E5*'Page 3-Assumptions'!$B$40*0.8</f>
        <v>21780</v>
      </c>
      <c r="C42" s="173"/>
      <c r="D42" s="173"/>
      <c r="E42" s="72">
        <f t="shared" si="1"/>
        <v>21780</v>
      </c>
      <c r="F42" s="128"/>
    </row>
    <row r="43" spans="1:6" x14ac:dyDescent="0.2">
      <c r="A43" s="104" t="s">
        <v>13</v>
      </c>
      <c r="B43" s="173">
        <f>'Page 6-Year 2'!B43*1.1</f>
        <v>11000</v>
      </c>
      <c r="C43" s="173"/>
      <c r="D43" s="173"/>
      <c r="E43" s="72">
        <f t="shared" si="1"/>
        <v>11000</v>
      </c>
      <c r="F43" s="128"/>
    </row>
    <row r="44" spans="1:6" x14ac:dyDescent="0.2">
      <c r="A44" s="104" t="s">
        <v>14</v>
      </c>
      <c r="B44" s="173">
        <f>'Page 6-Year 2'!B44*0.5</f>
        <v>4500</v>
      </c>
      <c r="C44" s="173"/>
      <c r="D44" s="173"/>
      <c r="E44" s="72">
        <f t="shared" si="1"/>
        <v>4500</v>
      </c>
      <c r="F44" s="128"/>
    </row>
    <row r="45" spans="1:6" x14ac:dyDescent="0.2">
      <c r="A45" s="104" t="s">
        <v>15</v>
      </c>
      <c r="B45" s="173">
        <f>'Page 6-Year 2'!B45*0.5</f>
        <v>53500</v>
      </c>
      <c r="C45" s="173"/>
      <c r="D45" s="173"/>
      <c r="E45" s="72">
        <f t="shared" si="1"/>
        <v>53500</v>
      </c>
      <c r="F45" s="128"/>
    </row>
    <row r="46" spans="1:6" x14ac:dyDescent="0.2">
      <c r="A46" s="104" t="s">
        <v>16</v>
      </c>
      <c r="B46" s="173">
        <f>'Page 6-Year 2'!B46*1.1</f>
        <v>29062.176000000003</v>
      </c>
      <c r="C46" s="173"/>
      <c r="D46" s="173"/>
      <c r="E46" s="72">
        <f t="shared" si="1"/>
        <v>29062.176000000003</v>
      </c>
      <c r="F46" s="128"/>
    </row>
    <row r="47" spans="1:6" x14ac:dyDescent="0.2">
      <c r="A47" s="104" t="s">
        <v>211</v>
      </c>
      <c r="B47" s="173">
        <f>'Page 6-Year 2'!B47*1.1</f>
        <v>169198.7</v>
      </c>
      <c r="C47" s="258"/>
      <c r="D47" s="173"/>
      <c r="E47" s="72">
        <f>SUM(B47:D47)</f>
        <v>169198.7</v>
      </c>
      <c r="F47" s="128"/>
    </row>
    <row r="48" spans="1:6" x14ac:dyDescent="0.2">
      <c r="A48" s="104" t="s">
        <v>17</v>
      </c>
      <c r="B48" s="173">
        <f>'Page 6-Year 2'!B48*1.1*0.9</f>
        <v>49898.97</v>
      </c>
      <c r="C48" s="173"/>
      <c r="D48" s="173"/>
      <c r="E48" s="72">
        <f t="shared" si="1"/>
        <v>49898.97</v>
      </c>
      <c r="F48" s="128"/>
    </row>
    <row r="49" spans="1:6" x14ac:dyDescent="0.2">
      <c r="A49" s="104" t="s">
        <v>18</v>
      </c>
      <c r="B49" s="173">
        <f>'Page 6-Year 2'!B49*1.04</f>
        <v>31200</v>
      </c>
      <c r="C49" s="173"/>
      <c r="D49" s="173"/>
      <c r="E49" s="72">
        <f t="shared" si="1"/>
        <v>31200</v>
      </c>
      <c r="F49" s="128"/>
    </row>
    <row r="50" spans="1:6" x14ac:dyDescent="0.2">
      <c r="A50" s="104" t="s">
        <v>19</v>
      </c>
      <c r="B50" s="90">
        <f>B26*0.2</f>
        <v>1018215</v>
      </c>
      <c r="C50" s="173"/>
      <c r="D50" s="173"/>
      <c r="E50" s="72">
        <f t="shared" si="1"/>
        <v>1018215</v>
      </c>
      <c r="F50" s="128"/>
    </row>
    <row r="51" spans="1:6" x14ac:dyDescent="0.2">
      <c r="A51" s="104" t="s">
        <v>20</v>
      </c>
      <c r="B51" s="90">
        <f>('Page 3-Assumptions'!$B$42+'Page 3-Assumptions'!$B$43)*'Page 1-Enrollment Plan'!D20</f>
        <v>12100</v>
      </c>
      <c r="C51" s="173"/>
      <c r="D51" s="173"/>
      <c r="E51" s="72">
        <f t="shared" si="1"/>
        <v>12100</v>
      </c>
      <c r="F51" s="128"/>
    </row>
    <row r="52" spans="1:6" x14ac:dyDescent="0.2">
      <c r="A52" s="104" t="s">
        <v>255</v>
      </c>
      <c r="B52" s="90">
        <v>46000</v>
      </c>
      <c r="C52" s="173"/>
      <c r="D52" s="173"/>
      <c r="E52" s="72">
        <f t="shared" si="1"/>
        <v>46000</v>
      </c>
      <c r="F52" s="128"/>
    </row>
    <row r="53" spans="1:6" x14ac:dyDescent="0.2">
      <c r="A53" s="104" t="s">
        <v>21</v>
      </c>
      <c r="B53" s="90">
        <f>'Page 3-Assumptions'!$E$28*(E31+E32)</f>
        <v>8575.68</v>
      </c>
      <c r="C53" s="173"/>
      <c r="D53" s="173"/>
      <c r="E53" s="72">
        <f t="shared" si="1"/>
        <v>8575.68</v>
      </c>
      <c r="F53" s="128"/>
    </row>
    <row r="54" spans="1:6" x14ac:dyDescent="0.2">
      <c r="A54" s="104" t="s">
        <v>22</v>
      </c>
      <c r="B54" s="90">
        <f>((E31+E32)/100)*0.75</f>
        <v>21439.199999999997</v>
      </c>
      <c r="C54" s="173"/>
      <c r="D54" s="173"/>
      <c r="E54" s="72">
        <f t="shared" si="1"/>
        <v>21439.199999999997</v>
      </c>
      <c r="F54" s="128"/>
    </row>
    <row r="55" spans="1:6" x14ac:dyDescent="0.2">
      <c r="A55" s="104" t="s">
        <v>23</v>
      </c>
      <c r="B55" s="173">
        <f>'Page 6-Year 2'!B55*1.1</f>
        <v>7128.0000000000009</v>
      </c>
      <c r="C55" s="173"/>
      <c r="D55" s="173"/>
      <c r="E55" s="72">
        <f t="shared" si="1"/>
        <v>7128.0000000000009</v>
      </c>
      <c r="F55" s="128"/>
    </row>
    <row r="56" spans="1:6" x14ac:dyDescent="0.2">
      <c r="A56" s="104" t="s">
        <v>24</v>
      </c>
      <c r="B56" s="90">
        <f>'Page 3-Assumptions'!$B$44*'Page 1-Enrollment Plan'!$D$20</f>
        <v>3025</v>
      </c>
      <c r="C56" s="173"/>
      <c r="D56" s="173"/>
      <c r="E56" s="72">
        <f t="shared" si="1"/>
        <v>3025</v>
      </c>
      <c r="F56" s="128"/>
    </row>
    <row r="57" spans="1:6" x14ac:dyDescent="0.2">
      <c r="A57" s="104" t="s">
        <v>42</v>
      </c>
      <c r="B57" s="90">
        <f>E5*'Page 3-Assumptions'!$B$45</f>
        <v>7562.5</v>
      </c>
      <c r="C57" s="173"/>
      <c r="D57" s="173"/>
      <c r="E57" s="72">
        <f t="shared" si="1"/>
        <v>7562.5</v>
      </c>
      <c r="F57" s="128"/>
    </row>
    <row r="58" spans="1:6" x14ac:dyDescent="0.2">
      <c r="A58" s="104" t="s">
        <v>25</v>
      </c>
      <c r="B58" s="90">
        <f>'Page 2-Staffing Plan'!E37*'Page 3-Assumptions'!$B$38</f>
        <v>3500</v>
      </c>
      <c r="C58" s="173"/>
      <c r="D58" s="176"/>
      <c r="E58" s="72">
        <f t="shared" si="1"/>
        <v>3500</v>
      </c>
      <c r="F58" s="128"/>
    </row>
    <row r="59" spans="1:6" x14ac:dyDescent="0.2">
      <c r="A59" s="104" t="s">
        <v>193</v>
      </c>
      <c r="B59" s="90">
        <f>E26*'Page 3-Assumptions'!E23</f>
        <v>152732.25</v>
      </c>
      <c r="C59" s="173"/>
      <c r="D59" s="173"/>
      <c r="E59" s="72">
        <f t="shared" si="1"/>
        <v>152732.25</v>
      </c>
      <c r="F59" s="128"/>
    </row>
    <row r="60" spans="1:6" x14ac:dyDescent="0.2">
      <c r="A60" s="104" t="s">
        <v>192</v>
      </c>
      <c r="B60" s="90">
        <f>B26*'Page 3-Assumptions'!E24</f>
        <v>50910.75</v>
      </c>
      <c r="C60" s="173"/>
      <c r="D60" s="173"/>
      <c r="E60" s="72">
        <f t="shared" si="1"/>
        <v>50910.75</v>
      </c>
      <c r="F60" s="128"/>
    </row>
    <row r="61" spans="1:6" x14ac:dyDescent="0.2">
      <c r="A61" s="104" t="s">
        <v>26</v>
      </c>
      <c r="B61" s="90">
        <f>'Page 3-Assumptions'!$B$46*'Page 1-Enrollment Plan'!$D$20*0.8</f>
        <v>29040</v>
      </c>
      <c r="C61" s="173"/>
      <c r="D61" s="173"/>
      <c r="E61" s="72">
        <f t="shared" si="1"/>
        <v>29040</v>
      </c>
      <c r="F61" s="128"/>
    </row>
    <row r="62" spans="1:6" x14ac:dyDescent="0.2">
      <c r="A62" s="104" t="s">
        <v>27</v>
      </c>
      <c r="B62" s="90">
        <f>E5*'Page 3-Assumptions'!$B$47</f>
        <v>9075</v>
      </c>
      <c r="C62" s="173"/>
      <c r="D62" s="173"/>
      <c r="E62" s="72">
        <f t="shared" si="1"/>
        <v>9075</v>
      </c>
      <c r="F62" s="128"/>
    </row>
    <row r="63" spans="1:6" x14ac:dyDescent="0.2">
      <c r="A63" s="104" t="s">
        <v>41</v>
      </c>
      <c r="B63" s="90">
        <f>E5*'Page 3-Assumptions'!$B$48</f>
        <v>6050</v>
      </c>
      <c r="C63" s="173"/>
      <c r="D63" s="173"/>
      <c r="E63" s="72">
        <f t="shared" si="1"/>
        <v>6050</v>
      </c>
      <c r="F63" s="128"/>
    </row>
    <row r="64" spans="1:6" x14ac:dyDescent="0.2">
      <c r="A64" s="104" t="s">
        <v>28</v>
      </c>
      <c r="B64" s="258">
        <f>624*('Page 1-Enrollment Plan'!D$20-'Page 1-Enrollment Plan'!C$20)</f>
        <v>50544</v>
      </c>
      <c r="C64" s="173"/>
      <c r="D64" s="176"/>
      <c r="E64" s="72">
        <f t="shared" si="1"/>
        <v>50544</v>
      </c>
      <c r="F64" s="128"/>
    </row>
    <row r="65" spans="1:6" x14ac:dyDescent="0.2">
      <c r="A65" s="104" t="s">
        <v>29</v>
      </c>
      <c r="B65" s="258">
        <f>'Page 6-Year 2'!$B65*1.5</f>
        <v>1500</v>
      </c>
      <c r="C65" s="173"/>
      <c r="D65" s="173"/>
      <c r="E65" s="72">
        <f t="shared" si="1"/>
        <v>1500</v>
      </c>
      <c r="F65" s="128"/>
    </row>
    <row r="66" spans="1:6" x14ac:dyDescent="0.2">
      <c r="A66" s="104" t="s">
        <v>191</v>
      </c>
      <c r="B66" s="258">
        <f>'Page 6-Year 2'!$B66*1.5</f>
        <v>0</v>
      </c>
      <c r="C66" s="173"/>
      <c r="D66" s="173"/>
      <c r="E66" s="72">
        <f t="shared" si="1"/>
        <v>0</v>
      </c>
      <c r="F66" s="128"/>
    </row>
    <row r="67" spans="1:6" x14ac:dyDescent="0.2">
      <c r="A67" s="104" t="s">
        <v>30</v>
      </c>
      <c r="B67" s="258">
        <v>20000</v>
      </c>
      <c r="C67" s="173"/>
      <c r="D67" s="173"/>
      <c r="E67" s="72">
        <f t="shared" si="1"/>
        <v>20000</v>
      </c>
      <c r="F67" s="128"/>
    </row>
    <row r="68" spans="1:6" x14ac:dyDescent="0.2">
      <c r="A68" s="104" t="s">
        <v>31</v>
      </c>
      <c r="B68" s="258">
        <f>('Page 1-Enrollment Plan'!C$20-'Page 1-Enrollment Plan'!B$20)*180+('Page 2-Staffing Plan'!D$37-'Page 2-Staffing Plan'!C$37)*500+3500</f>
        <v>-10800</v>
      </c>
      <c r="C68" s="173"/>
      <c r="D68" s="176"/>
      <c r="E68" s="72">
        <f t="shared" si="1"/>
        <v>-10800</v>
      </c>
      <c r="F68" s="128"/>
    </row>
    <row r="69" spans="1:6" x14ac:dyDescent="0.2">
      <c r="A69" s="104" t="s">
        <v>32</v>
      </c>
      <c r="B69" s="90">
        <f>'Page 3-Assumptions'!$B$49*'Page 1-Enrollment Plan'!D20</f>
        <v>12100</v>
      </c>
      <c r="C69" s="173"/>
      <c r="D69" s="173"/>
      <c r="E69" s="72">
        <f t="shared" si="1"/>
        <v>12100</v>
      </c>
      <c r="F69" s="128"/>
    </row>
    <row r="70" spans="1:6" x14ac:dyDescent="0.2">
      <c r="A70" s="104" t="s">
        <v>43</v>
      </c>
      <c r="B70" s="173"/>
      <c r="C70" s="173"/>
      <c r="D70" s="173"/>
      <c r="E70" s="72">
        <f t="shared" si="1"/>
        <v>0</v>
      </c>
      <c r="F70" s="128"/>
    </row>
    <row r="71" spans="1:6" x14ac:dyDescent="0.2">
      <c r="A71" s="104" t="s">
        <v>33</v>
      </c>
      <c r="B71" s="258">
        <v>6000</v>
      </c>
      <c r="C71" s="173"/>
      <c r="D71" s="173"/>
      <c r="E71" s="72">
        <f t="shared" si="1"/>
        <v>6000</v>
      </c>
      <c r="F71" s="128"/>
    </row>
    <row r="72" spans="1:6" x14ac:dyDescent="0.2">
      <c r="A72" s="104" t="s">
        <v>34</v>
      </c>
      <c r="B72" s="258">
        <v>0</v>
      </c>
      <c r="C72" s="175"/>
      <c r="D72" s="175"/>
      <c r="E72" s="72">
        <f t="shared" si="1"/>
        <v>0</v>
      </c>
      <c r="F72" s="128"/>
    </row>
    <row r="73" spans="1:6" x14ac:dyDescent="0.2">
      <c r="A73" s="217" t="s">
        <v>40</v>
      </c>
      <c r="B73" s="213">
        <f>SUM(B31:B72)</f>
        <v>5019295.7212000014</v>
      </c>
      <c r="C73" s="213">
        <f>SUM(C31:C72)</f>
        <v>654695.09700000007</v>
      </c>
      <c r="D73" s="213">
        <f>SUM(D31:D72)</f>
        <v>0</v>
      </c>
      <c r="E73" s="213">
        <f>SUM(E31:E72)</f>
        <v>5673990.8182000006</v>
      </c>
      <c r="F73" s="128"/>
    </row>
    <row r="74" spans="1:6" x14ac:dyDescent="0.2">
      <c r="A74" s="109"/>
      <c r="B74" s="21"/>
      <c r="C74" s="21"/>
      <c r="D74" s="21"/>
      <c r="E74" s="4"/>
      <c r="F74" s="128"/>
    </row>
    <row r="75" spans="1:6" x14ac:dyDescent="0.2">
      <c r="A75" s="222" t="s">
        <v>82</v>
      </c>
      <c r="B75" s="213">
        <f>B28-B73</f>
        <v>572745.92002137285</v>
      </c>
      <c r="C75" s="213">
        <f>C28-C73</f>
        <v>-501630.09700000007</v>
      </c>
      <c r="D75" s="213">
        <f>D28-D73</f>
        <v>0</v>
      </c>
      <c r="E75" s="213">
        <f>E28-E73</f>
        <v>71115.823021373712</v>
      </c>
      <c r="F75" s="128"/>
    </row>
    <row r="76" spans="1:6" x14ac:dyDescent="0.2">
      <c r="A76" s="108"/>
      <c r="B76" s="21"/>
      <c r="C76" s="21"/>
      <c r="D76" s="21"/>
      <c r="E76" s="4"/>
      <c r="F76" s="128"/>
    </row>
    <row r="77" spans="1:6" x14ac:dyDescent="0.2">
      <c r="A77" s="109" t="s">
        <v>175</v>
      </c>
      <c r="B77" s="21"/>
      <c r="C77" s="21"/>
      <c r="D77" s="24"/>
      <c r="E77" s="4"/>
      <c r="F77" s="128"/>
    </row>
    <row r="78" spans="1:6" x14ac:dyDescent="0.2">
      <c r="A78" s="232" t="s">
        <v>187</v>
      </c>
      <c r="B78" s="21">
        <v>0</v>
      </c>
      <c r="C78" s="21"/>
      <c r="D78" s="24"/>
      <c r="E78" s="4">
        <f>B78+C78+D78</f>
        <v>0</v>
      </c>
      <c r="F78" s="128"/>
    </row>
    <row r="79" spans="1:6" x14ac:dyDescent="0.2">
      <c r="A79" s="111" t="s">
        <v>136</v>
      </c>
      <c r="B79" s="231">
        <f>-(3%*(B28-((SUM(B15:B21)))))+'Page 6-Year 2'!E84</f>
        <v>-15740.254236641224</v>
      </c>
      <c r="C79" s="21"/>
      <c r="D79" s="21"/>
      <c r="E79" s="4">
        <f>SUM(B79:D79)</f>
        <v>-15740.254236641224</v>
      </c>
      <c r="F79" s="128"/>
    </row>
    <row r="80" spans="1:6" x14ac:dyDescent="0.2">
      <c r="A80" s="218" t="s">
        <v>45</v>
      </c>
      <c r="B80" s="221">
        <f>SUM(B75:B79)</f>
        <v>557005.66578473162</v>
      </c>
      <c r="C80" s="221">
        <f>SUM(C75:C79)</f>
        <v>-501630.09700000007</v>
      </c>
      <c r="D80" s="221">
        <f>SUM(D75:D79)</f>
        <v>0</v>
      </c>
      <c r="E80" s="221">
        <f>SUM(E75:E79)</f>
        <v>55375.568784732488</v>
      </c>
      <c r="F80" s="128"/>
    </row>
    <row r="81" spans="1:6" ht="15" x14ac:dyDescent="0.25">
      <c r="A81" s="119"/>
      <c r="B81" s="80"/>
      <c r="C81" s="80"/>
      <c r="D81" s="80"/>
      <c r="E81" s="120"/>
      <c r="F81" s="128"/>
    </row>
    <row r="82" spans="1:6" x14ac:dyDescent="0.2">
      <c r="A82" s="110" t="s">
        <v>95</v>
      </c>
      <c r="B82" s="14"/>
      <c r="C82" s="14"/>
      <c r="D82" s="14"/>
      <c r="E82" s="28">
        <f>'Page 6-Year 2'!E83</f>
        <v>227658.57804041822</v>
      </c>
      <c r="F82" s="128"/>
    </row>
    <row r="83" spans="1:6" x14ac:dyDescent="0.2">
      <c r="A83" s="110" t="s">
        <v>96</v>
      </c>
      <c r="B83" s="14"/>
      <c r="C83" s="14"/>
      <c r="D83" s="14"/>
      <c r="E83" s="28">
        <f>E75+E78+E82</f>
        <v>298774.40106179193</v>
      </c>
      <c r="F83" s="128"/>
    </row>
    <row r="84" spans="1:6" x14ac:dyDescent="0.2">
      <c r="A84" s="111" t="s">
        <v>97</v>
      </c>
      <c r="B84" s="14"/>
      <c r="C84" s="14"/>
      <c r="D84" s="14"/>
      <c r="E84" s="24">
        <f>'Page 6-Year 2'!E84-E79</f>
        <v>160075.02423664121</v>
      </c>
      <c r="F84" s="128"/>
    </row>
    <row r="85" spans="1:6" x14ac:dyDescent="0.2">
      <c r="A85" s="111" t="s">
        <v>98</v>
      </c>
      <c r="B85" s="14"/>
      <c r="C85" s="14"/>
      <c r="D85" s="14"/>
      <c r="E85" s="24">
        <f>E83-E84</f>
        <v>138699.37682515071</v>
      </c>
      <c r="F85" s="128"/>
    </row>
    <row r="86" spans="1:6" x14ac:dyDescent="0.2">
      <c r="A86" s="112" t="s">
        <v>99</v>
      </c>
      <c r="B86" s="14"/>
      <c r="C86" s="14"/>
      <c r="D86" s="14"/>
      <c r="E86" s="113">
        <f>E85/E73</f>
        <v>2.4444765821660473E-2</v>
      </c>
      <c r="F86" s="130"/>
    </row>
    <row r="87" spans="1:6" x14ac:dyDescent="0.2">
      <c r="A87" s="117"/>
      <c r="B87" s="68"/>
      <c r="C87" s="68"/>
      <c r="D87" s="68"/>
      <c r="E87" s="69"/>
      <c r="F87" s="131"/>
    </row>
  </sheetData>
  <mergeCells count="1">
    <mergeCell ref="B3:E3"/>
  </mergeCells>
  <phoneticPr fontId="2" type="noConversion"/>
  <printOptions horizontalCentered="1"/>
  <pageMargins left="0.25" right="0.25" top="0.43" bottom="0.66" header="0.2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40</vt:i4>
      </vt:variant>
    </vt:vector>
  </HeadingPairs>
  <TitlesOfParts>
    <vt:vector size="60" baseType="lpstr">
      <vt:lpstr>Instructions</vt:lpstr>
      <vt:lpstr>Cover Page</vt:lpstr>
      <vt:lpstr>Page 1-Enrollment Plan</vt:lpstr>
      <vt:lpstr>Page 2-Staffing Plan</vt:lpstr>
      <vt:lpstr>Page 3-Assumptions</vt:lpstr>
      <vt:lpstr>Page 4-Year 0</vt:lpstr>
      <vt:lpstr>Page 5-Year 1</vt:lpstr>
      <vt:lpstr>Page 6-Year 2</vt:lpstr>
      <vt:lpstr>Page 7-Year 3</vt:lpstr>
      <vt:lpstr>Page 8-Year 4</vt:lpstr>
      <vt:lpstr>Page 9-Year 5</vt:lpstr>
      <vt:lpstr>Page 9-Year 6 </vt:lpstr>
      <vt:lpstr>Page 10-6 yr Budget-detail</vt:lpstr>
      <vt:lpstr>Page 11-6 yr Budget Summary</vt:lpstr>
      <vt:lpstr>FeeIncome</vt:lpstr>
      <vt:lpstr>AdminStaffPlan</vt:lpstr>
      <vt:lpstr>Curriculum</vt:lpstr>
      <vt:lpstr>Support-CDE start-up grant</vt:lpstr>
      <vt:lpstr>16 MO projection</vt:lpstr>
      <vt:lpstr>Sheet2</vt:lpstr>
      <vt:lpstr>__FTE1</vt:lpstr>
      <vt:lpstr>__FTE2</vt:lpstr>
      <vt:lpstr>__fTE3</vt:lpstr>
      <vt:lpstr>__FTE4</vt:lpstr>
      <vt:lpstr>'Page 11-6 yr Budget Summary'!_FTE1</vt:lpstr>
      <vt:lpstr>'Page 11-6 yr Budget Summary'!_FTE2</vt:lpstr>
      <vt:lpstr>'Page 11-6 yr Budget Summary'!_fTE3</vt:lpstr>
      <vt:lpstr>'Page 11-6 yr Budget Summary'!_FTE4</vt:lpstr>
      <vt:lpstr>'16 MO projection'!FPC</vt:lpstr>
      <vt:lpstr>'Page 5-Year 1'!FPC</vt:lpstr>
      <vt:lpstr>'Page 6-Year 2'!FPC</vt:lpstr>
      <vt:lpstr>'Page 7-Year 3'!FPC</vt:lpstr>
      <vt:lpstr>'Page 8-Year 4'!FPC</vt:lpstr>
      <vt:lpstr>'Page 9-Year 5'!FPC</vt:lpstr>
      <vt:lpstr>'Page 9-Year 6 '!FPC</vt:lpstr>
      <vt:lpstr>FPC</vt:lpstr>
      <vt:lpstr>'Page 11-6 yr Budget Summary'!FTE0</vt:lpstr>
      <vt:lpstr>FTE0</vt:lpstr>
      <vt:lpstr>'16 MO projection'!Print_Area</vt:lpstr>
      <vt:lpstr>'Cover Page'!Print_Area</vt:lpstr>
      <vt:lpstr>'Page 10-6 yr Budget-detail'!Print_Area</vt:lpstr>
      <vt:lpstr>'Page 2-Staffing Plan'!Print_Area</vt:lpstr>
      <vt:lpstr>'Page 3-Assumptions'!Print_Area</vt:lpstr>
      <vt:lpstr>'Page 4-Year 0'!Print_Area</vt:lpstr>
      <vt:lpstr>'Page 5-Year 1'!Print_Area</vt:lpstr>
      <vt:lpstr>'Page 6-Year 2'!Print_Area</vt:lpstr>
      <vt:lpstr>'Page 7-Year 3'!Print_Area</vt:lpstr>
      <vt:lpstr>'Page 8-Year 4'!Print_Area</vt:lpstr>
      <vt:lpstr>'Page 9-Year 5'!Print_Area</vt:lpstr>
      <vt:lpstr>'Page 9-Year 6 '!Print_Area</vt:lpstr>
      <vt:lpstr>'16 MO projection'!Print_Titles</vt:lpstr>
      <vt:lpstr>'Page 10-6 yr Budget-detail'!Print_Titles</vt:lpstr>
      <vt:lpstr>'Page 11-6 yr Budget Summary'!Print_Titles</vt:lpstr>
      <vt:lpstr>'Page 4-Year 0'!Print_Titles</vt:lpstr>
      <vt:lpstr>'Page 5-Year 1'!Print_Titles</vt:lpstr>
      <vt:lpstr>'Page 6-Year 2'!Print_Titles</vt:lpstr>
      <vt:lpstr>'Page 7-Year 3'!Print_Titles</vt:lpstr>
      <vt:lpstr>'Page 8-Year 4'!Print_Titles</vt:lpstr>
      <vt:lpstr>'Page 9-Year 5'!Print_Titles</vt:lpstr>
      <vt:lpstr>'Page 9-Year 6 '!Print_Titles</vt:lpstr>
    </vt:vector>
  </TitlesOfParts>
  <Company>Abstract Insights,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Deacon</dc:creator>
  <cp:lastModifiedBy>Andrea Sample</cp:lastModifiedBy>
  <cp:lastPrinted>2019-05-02T22:40:36Z</cp:lastPrinted>
  <dcterms:created xsi:type="dcterms:W3CDTF">2009-05-20T22:46:14Z</dcterms:created>
  <dcterms:modified xsi:type="dcterms:W3CDTF">2021-01-16T16:06:38Z</dcterms:modified>
</cp:coreProperties>
</file>